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2"/>
  </bookViews>
  <sheets>
    <sheet name="Dept-04-05" sheetId="1" r:id="rId1"/>
    <sheet name="TaxItem-04-05" sheetId="2" r:id="rId2"/>
    <sheet name="Reg-04-05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<sst xmlns="http://schemas.openxmlformats.org/spreadsheetml/2006/main" count="379" uniqueCount="119">
  <si>
    <t>DEPARTMENT</t>
  </si>
  <si>
    <t>Income Tax</t>
  </si>
  <si>
    <t>VAT</t>
  </si>
  <si>
    <t>Add:Treasury Voucher</t>
  </si>
  <si>
    <t>GRAND TOTAL</t>
  </si>
  <si>
    <t>July</t>
  </si>
  <si>
    <t>August</t>
  </si>
  <si>
    <t>September</t>
  </si>
  <si>
    <t>1st Quarter</t>
  </si>
  <si>
    <t>Limited Companies</t>
  </si>
  <si>
    <t>Parastatals</t>
  </si>
  <si>
    <t>Individuals</t>
  </si>
  <si>
    <t>Windfall Tax</t>
  </si>
  <si>
    <t>Capital Gains Tax</t>
  </si>
  <si>
    <t>Shipping Tax</t>
  </si>
  <si>
    <t>Transport</t>
  </si>
  <si>
    <t>Treasury Bills</t>
  </si>
  <si>
    <t>Rental Tax</t>
  </si>
  <si>
    <t>Gaming Tax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</si>
  <si>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</si>
  <si>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</si>
  <si>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</si>
  <si>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</si>
  <si>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</si>
  <si>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</si>
  <si>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</si>
  <si>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</si>
  <si>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</si>
  <si>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</si>
  <si>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</si>
  <si>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</si>
  <si>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</si>
  <si>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</si>
  <si>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</si>
  <si>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</si>
  <si>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</si>
  <si>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</si>
  <si>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</si>
  <si>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</si>
  <si>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Excise Duty- Local</t>
  </si>
  <si>
    <t>Beer</t>
  </si>
  <si>
    <t>Cigarettes</t>
  </si>
  <si>
    <t>Soft Drinks</t>
  </si>
  <si>
    <t>Spirits/Konyagi</t>
  </si>
  <si>
    <t>Mobile Phone</t>
  </si>
  <si>
    <t>S/Plastic bags</t>
  </si>
  <si>
    <t>Wine</t>
  </si>
  <si>
    <t>Other products</t>
  </si>
  <si>
    <t>Sub-Total</t>
  </si>
  <si>
    <t>Petroleum</t>
  </si>
  <si>
    <t>Textiles</t>
  </si>
  <si>
    <t>Soap &amp; Detergents</t>
  </si>
  <si>
    <t>Sugar</t>
  </si>
  <si>
    <t>Others</t>
  </si>
  <si>
    <t>Departure Charges</t>
  </si>
  <si>
    <t>Motor Vehicle Taxes</t>
  </si>
  <si>
    <t>Stamp Duty</t>
  </si>
  <si>
    <t>Non Tax Revenue</t>
  </si>
  <si>
    <t>Treasury Voucher</t>
  </si>
  <si>
    <t>Income Tax Department</t>
  </si>
  <si>
    <t>Customs and Excise Department</t>
  </si>
  <si>
    <t>Import Duty</t>
  </si>
  <si>
    <t>Excise Duty-Imports</t>
  </si>
  <si>
    <t>Excise Duty Petroleum</t>
  </si>
  <si>
    <t>Fuel Levy</t>
  </si>
  <si>
    <t>Other Import charges</t>
  </si>
  <si>
    <t>Exports Duty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</si>
  <si>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</si>
  <si>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</si>
  <si>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</si>
  <si>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</si>
  <si>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</si>
  <si>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</si>
  <si>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</si>
  <si>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</si>
  <si>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Stamp duty</t>
  </si>
  <si>
    <t>Corporate Taxes</t>
  </si>
  <si>
    <t>PAYE</t>
  </si>
  <si>
    <t>Large Taxpayers Department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</si>
  <si>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</si>
  <si>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</si>
  <si>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</si>
  <si>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</si>
  <si>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</si>
  <si>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</si>
  <si>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</si>
  <si>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</si>
  <si>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</si>
  <si>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Destination inspection fees</t>
  </si>
  <si>
    <t>Customs and Excise</t>
  </si>
  <si>
    <t>Withholding Tax (Goods and Services)</t>
  </si>
  <si>
    <t>Withholding Tax Insurance Commission</t>
  </si>
  <si>
    <t>Withholding Tax Bank Interest</t>
  </si>
  <si>
    <t>Withholding Tax (IRMD)</t>
  </si>
  <si>
    <t>Skills and Development Levy</t>
  </si>
  <si>
    <t xml:space="preserve">Other Taxes Business-Licences </t>
  </si>
  <si>
    <t>Miscellaneous Collections</t>
  </si>
  <si>
    <t>VAT - Local</t>
  </si>
  <si>
    <t>VAT - Imports</t>
  </si>
  <si>
    <t>VAT - Petroleum</t>
  </si>
  <si>
    <t>Excise Duty - Local</t>
  </si>
  <si>
    <t>Dar es Salaam</t>
  </si>
  <si>
    <t>Large Taxpayers</t>
  </si>
  <si>
    <t>Add: Treasury Voucher</t>
  </si>
  <si>
    <t>Less: Transfers to refunds A/C &amp; VETA</t>
  </si>
  <si>
    <t>Other Withholding Taxes</t>
  </si>
  <si>
    <t>TAX ITEM</t>
  </si>
  <si>
    <t>Total</t>
  </si>
  <si>
    <t>4th Quarter</t>
  </si>
  <si>
    <t>April</t>
  </si>
  <si>
    <t>May</t>
  </si>
  <si>
    <t>June</t>
  </si>
  <si>
    <t xml:space="preserve"> </t>
  </si>
  <si>
    <t>Source: Tanzania Revenue Authority</t>
  </si>
  <si>
    <t>Million Tshs.</t>
  </si>
  <si>
    <t>TOTAL (GROSS)</t>
  </si>
  <si>
    <t>TOTAL (NET)</t>
  </si>
  <si>
    <t>Non-Tax Revenue</t>
  </si>
  <si>
    <t>Departmental actual revenue collections in quarterly for 2004/05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</si>
</sst>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#,##0.0_ ;[Red]\-#,##0.0\ "/>
    <numFmt numFmtId="168" formatCode="_(* #,##0.0_);_(* \(#,##0.0\);_(* &quot;-&quot;??_);_(@_)"/>
    <numFmt numFmtId="169" formatCode="_-* #,##0.0_-;\-* #,##0.0_-;_-* &quot;-&quot;?_-;_-@_-"/>
    <numFmt numFmtId="170" formatCode="#,##0_ ;\-#,##0\ "/>
    <numFmt numFmtId="171" formatCode="#,##0.0_ ;\-#,##0.0\ "/>
    <numFmt numFmtId="172" formatCode="_-* #,##0_-;\-* #,##0_-;_-* &quot;-&quot;?_-;_-@_-"/>
    <numFmt numFmtId="173" formatCode="#,##0.0"/>
    <numFmt numFmtId="174" formatCode="_(* #,##0.0_);_(* \(#,##0.0\);_(* &quot;-&quot;?_);_(@_)"/>
    <numFmt numFmtId="175" formatCode="#,##0.0;[Red]#,##0.0"/>
    <numFmt numFmtId="176" formatCode="0.0"/>
    <numFmt numFmtId="177" formatCode="0.0%"/>
    <numFmt numFmtId="178" formatCode="_-* #,##0.00_-;\-* #,##0.0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.5"/>
      <name val="Arial"/>
      <family val="2"/>
    </font>
  </fonts>
  <fills count="6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169" fontId="0" fillId="0" borderId="1" xfId="0" applyNumberFormat="1" applyFont="1" applyBorder="1" applyAlignment="1">
      <alignment/>
    </xf>
    <xf numFmtId="43" fontId="0" fillId="0" borderId="2" xfId="15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171" fontId="0" fillId="0" borderId="1" xfId="0" applyNumberFormat="1" applyFont="1" applyBorder="1" applyAlignment="1">
      <alignment horizontal="right"/>
    </xf>
    <xf numFmtId="0" fontId="0" fillId="0" borderId="1" xfId="0" applyFont="1" applyBorder="1" applyAlignment="1" quotePrefix="1">
      <alignment horizontal="left" wrapText="1"/>
    </xf>
    <xf numFmtId="172" fontId="0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169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64" fontId="0" fillId="0" borderId="1" xfId="15" applyNumberFormat="1" applyFont="1" applyBorder="1" applyAlignment="1">
      <alignment vertical="center"/>
    </xf>
    <xf numFmtId="164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4" borderId="3" xfId="0" applyFont="1" applyFill="1" applyBorder="1" applyAlignment="1" quotePrefix="1">
      <alignment horizontal="right"/>
    </xf>
    <xf numFmtId="0" fontId="0" fillId="4" borderId="1" xfId="0" applyFont="1" applyFill="1" applyBorder="1" applyAlignment="1" quotePrefix="1">
      <alignment horizontal="right"/>
    </xf>
    <xf numFmtId="0" fontId="0" fillId="4" borderId="1" xfId="0" applyFont="1" applyFill="1" applyBorder="1" applyAlignment="1">
      <alignment horizontal="centerContinuous"/>
    </xf>
    <xf numFmtId="164" fontId="0" fillId="4" borderId="1" xfId="15" applyNumberFormat="1" applyFont="1" applyFill="1" applyBorder="1" applyAlignment="1" quotePrefix="1">
      <alignment horizontal="right"/>
    </xf>
    <xf numFmtId="164" fontId="0" fillId="0" borderId="3" xfId="15" applyNumberFormat="1" applyFont="1" applyBorder="1" applyAlignment="1" quotePrefix="1">
      <alignment horizontal="right"/>
    </xf>
    <xf numFmtId="164" fontId="0" fillId="0" borderId="1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left"/>
    </xf>
    <xf numFmtId="164" fontId="0" fillId="0" borderId="3" xfId="15" applyNumberFormat="1" applyFont="1" applyBorder="1" applyAlignment="1">
      <alignment horizontal="right"/>
    </xf>
    <xf numFmtId="164" fontId="0" fillId="0" borderId="1" xfId="15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175" fontId="4" fillId="0" borderId="3" xfId="0" applyNumberFormat="1" applyFont="1" applyBorder="1" applyAlignment="1">
      <alignment/>
    </xf>
    <xf numFmtId="175" fontId="4" fillId="0" borderId="1" xfId="0" applyNumberFormat="1" applyFont="1" applyBorder="1" applyAlignment="1">
      <alignment/>
    </xf>
    <xf numFmtId="43" fontId="4" fillId="0" borderId="1" xfId="15" applyFont="1" applyBorder="1" applyAlignment="1">
      <alignment/>
    </xf>
    <xf numFmtId="0" fontId="0" fillId="0" borderId="1" xfId="0" applyFont="1" applyBorder="1" applyAlignment="1">
      <alignment horizontal="left" wrapText="1"/>
    </xf>
    <xf numFmtId="175" fontId="0" fillId="4" borderId="3" xfId="0" applyNumberFormat="1" applyFont="1" applyFill="1" applyBorder="1" applyAlignment="1" quotePrefix="1">
      <alignment horizontal="right"/>
    </xf>
    <xf numFmtId="175" fontId="0" fillId="4" borderId="1" xfId="0" applyNumberFormat="1" applyFont="1" applyFill="1" applyBorder="1" applyAlignment="1" quotePrefix="1">
      <alignment horizontal="right"/>
    </xf>
    <xf numFmtId="175" fontId="0" fillId="4" borderId="1" xfId="15" applyNumberFormat="1" applyFont="1" applyFill="1" applyBorder="1" applyAlignment="1" quotePrefix="1">
      <alignment horizontal="right"/>
    </xf>
    <xf numFmtId="175" fontId="0" fillId="0" borderId="3" xfId="0" applyNumberFormat="1" applyFont="1" applyBorder="1" applyAlignment="1" quotePrefix="1">
      <alignment horizontal="right"/>
    </xf>
    <xf numFmtId="175" fontId="0" fillId="0" borderId="1" xfId="0" applyNumberFormat="1" applyFont="1" applyBorder="1" applyAlignment="1" quotePrefix="1">
      <alignment horizontal="right"/>
    </xf>
    <xf numFmtId="175" fontId="0" fillId="0" borderId="1" xfId="15" applyNumberFormat="1" applyFont="1" applyBorder="1" applyAlignment="1" quotePrefix="1">
      <alignment horizontal="right"/>
    </xf>
    <xf numFmtId="175" fontId="0" fillId="0" borderId="1" xfId="0" applyNumberFormat="1" applyFont="1" applyBorder="1" applyAlignment="1">
      <alignment/>
    </xf>
    <xf numFmtId="43" fontId="0" fillId="0" borderId="1" xfId="15" applyFont="1" applyBorder="1" applyAlignment="1" quotePrefix="1">
      <alignment horizontal="right"/>
    </xf>
    <xf numFmtId="43" fontId="0" fillId="0" borderId="1" xfId="15" applyFont="1" applyBorder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Font="1" applyBorder="1" applyAlignment="1">
      <alignment/>
    </xf>
    <xf numFmtId="175" fontId="4" fillId="0" borderId="3" xfId="15" applyNumberFormat="1" applyFont="1" applyBorder="1" applyAlignment="1">
      <alignment horizontal="right"/>
    </xf>
    <xf numFmtId="175" fontId="4" fillId="0" borderId="1" xfId="15" applyNumberFormat="1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0" fontId="0" fillId="0" borderId="4" xfId="0" applyFont="1" applyBorder="1" applyAlignment="1" quotePrefix="1">
      <alignment horizontal="left" wrapText="1"/>
    </xf>
    <xf numFmtId="0" fontId="0" fillId="0" borderId="1" xfId="0" applyFont="1" applyBorder="1" applyAlignment="1">
      <alignment vertical="top" wrapText="1"/>
    </xf>
    <xf numFmtId="43" fontId="0" fillId="0" borderId="0" xfId="15" applyFont="1" applyAlignment="1">
      <alignment/>
    </xf>
    <xf numFmtId="175" fontId="4" fillId="0" borderId="3" xfId="15" applyNumberFormat="1" applyFont="1" applyBorder="1" applyAlignment="1" quotePrefix="1">
      <alignment horizontal="right"/>
    </xf>
    <xf numFmtId="175" fontId="4" fillId="0" borderId="1" xfId="15" applyNumberFormat="1" applyFont="1" applyBorder="1" applyAlignment="1" quotePrefix="1">
      <alignment horizontal="right"/>
    </xf>
    <xf numFmtId="43" fontId="4" fillId="0" borderId="1" xfId="15" applyFont="1" applyBorder="1" applyAlignment="1" quotePrefix="1">
      <alignment horizontal="right"/>
    </xf>
    <xf numFmtId="175" fontId="4" fillId="0" borderId="1" xfId="0" applyNumberFormat="1" applyFont="1" applyBorder="1" applyAlignment="1">
      <alignment horizontal="right"/>
    </xf>
    <xf numFmtId="164" fontId="0" fillId="0" borderId="3" xfId="15" applyNumberFormat="1" applyFont="1" applyBorder="1" applyAlignment="1">
      <alignment/>
    </xf>
    <xf numFmtId="0" fontId="0" fillId="0" borderId="0" xfId="0" applyFont="1" applyAlignment="1">
      <alignment horizontal="right"/>
    </xf>
    <xf numFmtId="169" fontId="0" fillId="0" borderId="1" xfId="15" applyNumberFormat="1" applyFont="1" applyBorder="1" applyAlignment="1" quotePrefix="1">
      <alignment horizontal="right"/>
    </xf>
    <xf numFmtId="169" fontId="4" fillId="0" borderId="1" xfId="15" applyNumberFormat="1" applyFont="1" applyBorder="1" applyAlignment="1" quotePrefix="1">
      <alignment horizontal="right"/>
    </xf>
    <xf numFmtId="164" fontId="4" fillId="0" borderId="1" xfId="15" applyNumberFormat="1" applyFont="1" applyBorder="1" applyAlignment="1">
      <alignment/>
    </xf>
    <xf numFmtId="169" fontId="0" fillId="0" borderId="1" xfId="15" applyNumberFormat="1" applyFont="1" applyBorder="1" applyAlignment="1">
      <alignment horizontal="right"/>
    </xf>
    <xf numFmtId="1" fontId="0" fillId="4" borderId="1" xfId="0" applyNumberFormat="1" applyFont="1" applyFill="1" applyBorder="1" applyAlignment="1">
      <alignment horizontal="center"/>
    </xf>
    <xf numFmtId="169" fontId="4" fillId="0" borderId="1" xfId="15" applyNumberFormat="1" applyFont="1" applyBorder="1" applyAlignment="1">
      <alignment/>
    </xf>
    <xf numFmtId="169" fontId="4" fillId="0" borderId="0" xfId="0" applyNumberFormat="1" applyFont="1" applyAlignment="1">
      <alignment/>
    </xf>
    <xf numFmtId="176" fontId="0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left" wrapText="1"/>
    </xf>
    <xf numFmtId="164" fontId="4" fillId="0" borderId="1" xfId="15" applyNumberFormat="1" applyFont="1" applyBorder="1" applyAlignment="1">
      <alignment horizontal="right"/>
    </xf>
    <xf numFmtId="43" fontId="0" fillId="0" borderId="1" xfId="15" applyFont="1" applyBorder="1" applyAlignment="1">
      <alignment horizontal="center"/>
    </xf>
    <xf numFmtId="164" fontId="0" fillId="0" borderId="1" xfId="15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/>
    </xf>
    <xf numFmtId="164" fontId="4" fillId="0" borderId="1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71" fontId="4" fillId="0" borderId="1" xfId="0" applyNumberFormat="1" applyFont="1" applyBorder="1" applyAlignment="1">
      <alignment/>
    </xf>
    <xf numFmtId="0" fontId="4" fillId="2" borderId="1" xfId="0" applyFont="1" applyFill="1" applyBorder="1" applyAlignment="1" quotePrefix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4" fillId="0" borderId="1" xfId="15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left" vertical="center"/>
    </xf>
    <xf numFmtId="165" fontId="0" fillId="0" borderId="0" xfId="15" applyNumberFormat="1" applyFont="1" applyAlignment="1">
      <alignment/>
    </xf>
    <xf numFmtId="10" fontId="0" fillId="0" borderId="0" xfId="21" applyNumberFormat="1" applyFont="1" applyAlignment="1">
      <alignment/>
    </xf>
    <xf numFmtId="43" fontId="0" fillId="0" borderId="0" xfId="0" applyNumberFormat="1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x%20Statistics\Flash%20Reports\2004-Jul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ax%20Statistics\Flash%20Reports\2004-Au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ax%20Statistics\Flash%20Reports\2004-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v est-custom&amp;vat"/>
      <sheetName val="LARGE-TAX"/>
      <sheetName val="INCOME-TAX"/>
      <sheetName val="sumry for m`land &amp; act res comp"/>
      <sheetName val="I-TAX GRAPH"/>
      <sheetName val="VAT-GRAPH"/>
      <sheetName val="C&amp;E -GRAPH"/>
      <sheetName val="LARGETAX-GRAPH"/>
      <sheetName val="TOTAL-GRAPH"/>
      <sheetName val="GRAPH-MLAND"/>
      <sheetName val="perf. by regions"/>
      <sheetName val="Inc. Tax Itemwise"/>
      <sheetName val="Inc. tax regionwise"/>
      <sheetName val="VAT Itemwise"/>
      <sheetName val="VAT Regionwise"/>
      <sheetName val="Customs Itemwise"/>
      <sheetName val="Customs Regionwise"/>
      <sheetName val="L-TAX"/>
      <sheetName val="Rev. est. for Zbr."/>
      <sheetName val="perf. summary for zanz."/>
      <sheetName val="I-TAX GRAPH ZBR"/>
      <sheetName val="C&amp;E-GRAPH ZBR"/>
      <sheetName val="TOTAL-GRAPH ZBR"/>
      <sheetName val="GRAPH-ZBAR"/>
      <sheetName val="zanz cust. dept"/>
      <sheetName val="zanz Income tax"/>
      <sheetName val="exemption &amp; rebate m`land"/>
      <sheetName val="exemption zbr"/>
    </sheetNames>
    <sheetDataSet>
      <sheetData sheetId="10">
        <row r="25">
          <cell r="K25">
            <v>4866.9</v>
          </cell>
        </row>
      </sheetData>
      <sheetData sheetId="12">
        <row r="24">
          <cell r="J24">
            <v>15593.29007592</v>
          </cell>
        </row>
      </sheetData>
      <sheetData sheetId="14">
        <row r="24">
          <cell r="J24">
            <v>11065.293868409999</v>
          </cell>
        </row>
        <row r="27">
          <cell r="J27">
            <v>441.110127</v>
          </cell>
        </row>
      </sheetData>
      <sheetData sheetId="15">
        <row r="23">
          <cell r="J23">
            <v>59355.139313</v>
          </cell>
        </row>
      </sheetData>
      <sheetData sheetId="16">
        <row r="27">
          <cell r="J27">
            <v>1527.4</v>
          </cell>
        </row>
      </sheetData>
      <sheetData sheetId="17">
        <row r="25">
          <cell r="J25">
            <v>33164.209316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v est-custom&amp;vat"/>
      <sheetName val="LARGE-TAX"/>
      <sheetName val="INCOME-TAX"/>
      <sheetName val="sumry for m`land &amp; act res comp"/>
      <sheetName val="I-TAX GRAPH"/>
      <sheetName val="VAT-GRAPH"/>
      <sheetName val="C&amp;E -GRAPH"/>
      <sheetName val="LARGETAX-GRAPH"/>
      <sheetName val="TOTAL-GRAPH"/>
      <sheetName val="GRAPH-MLAND"/>
      <sheetName val="perf. by regions"/>
      <sheetName val="Inc. Tax Itemwise"/>
      <sheetName val="Inc. tax regionwise"/>
      <sheetName val="VAT Itemwise"/>
      <sheetName val="VAT Regionwise"/>
      <sheetName val="Customs Itemwise"/>
      <sheetName val="Customs Regionwise"/>
      <sheetName val="L-TAX"/>
      <sheetName val="Rev. est. for Zbr."/>
      <sheetName val="perf. summary for zanz."/>
      <sheetName val="I-TAX GRAPH ZBR"/>
      <sheetName val="C&amp;E-GRAPH ZBR"/>
      <sheetName val="TOTAL-GRAPH ZBR"/>
      <sheetName val="GRAPH-ZBAR"/>
      <sheetName val="zanz cust. dept"/>
      <sheetName val="zanz Income tax"/>
      <sheetName val="exemption &amp; rebate m`land"/>
      <sheetName val="exemption zbr"/>
    </sheetNames>
    <sheetDataSet>
      <sheetData sheetId="11">
        <row r="24">
          <cell r="D24">
            <v>500.5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v est-custom&amp;vat"/>
      <sheetName val="LARGE-TAX"/>
      <sheetName val="INCOME-TAX"/>
      <sheetName val="sumry for m`land &amp; act res comp"/>
      <sheetName val="I-TAX GRAPH"/>
      <sheetName val="VAT-GRAPH"/>
      <sheetName val="C&amp;E -GRAPH"/>
      <sheetName val="LARGETAX-GRAPH"/>
      <sheetName val="TOTAL-GRAPH"/>
      <sheetName val="GRAPH-MLAND"/>
      <sheetName val="perf. by regions"/>
      <sheetName val="Inc. Tax Itemwise"/>
      <sheetName val="Inc. tax regionwise"/>
      <sheetName val="VAT Itemwise"/>
      <sheetName val="VAT Regionwise"/>
      <sheetName val="Customs Itemwise"/>
      <sheetName val="Customs Regionwise"/>
      <sheetName val="L-TAX"/>
      <sheetName val="Rev. est. for Zbr."/>
      <sheetName val="perf. summary for zanz."/>
      <sheetName val="I-TAX GRAPH ZBR"/>
      <sheetName val="C&amp;E-GRAPH ZBR"/>
      <sheetName val="TOTAL-GRAPH ZBR"/>
      <sheetName val="GRAPH-ZBAR"/>
      <sheetName val="zanz cust. dept"/>
      <sheetName val="zanz Income tax"/>
      <sheetName val="exemption &amp; rebate m`land"/>
      <sheetName val="exemption zbr"/>
    </sheetNames>
    <sheetDataSet>
      <sheetData sheetId="11">
        <row r="25">
          <cell r="E25">
            <v>1501.5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workbookViewId="0" topLeftCell="A1">
      <selection activeCell="A2" sqref="A2:A3"/>
    </sheetView>
  </sheetViews>
  <sheetFormatPr defaultColWidth="9.140625" defaultRowHeight="12.75"/>
  <cols>
    <col min="1" max="1" width="34.140625" style="3" customWidth="1"/>
    <col min="2" max="17" width="11.7109375" style="3" customWidth="1"/>
    <col min="18" max="16384" width="9.140625" style="3" customWidth="1"/>
  </cols>
  <sheetData>
    <row r="1" spans="1:17" ht="15.75">
      <c r="A1" s="1" t="s">
        <v>118</v>
      </c>
      <c r="Q1" s="4" t="s">
        <v>114</v>
      </c>
    </row>
    <row r="2" spans="1:17" ht="12.75" customHeight="1">
      <c r="A2" s="87" t="s">
        <v>0</v>
      </c>
      <c r="B2" s="88" t="s">
        <v>8</v>
      </c>
      <c r="C2" s="89"/>
      <c r="D2" s="89"/>
      <c r="E2" s="90"/>
      <c r="F2" s="91" t="s">
        <v>82</v>
      </c>
      <c r="G2" s="91"/>
      <c r="H2" s="91"/>
      <c r="I2" s="91"/>
      <c r="J2" s="91" t="s">
        <v>86</v>
      </c>
      <c r="K2" s="91"/>
      <c r="L2" s="91"/>
      <c r="M2" s="91"/>
      <c r="N2" s="91" t="s">
        <v>108</v>
      </c>
      <c r="O2" s="91"/>
      <c r="P2" s="91"/>
      <c r="Q2" s="91"/>
    </row>
    <row r="3" spans="1:17" ht="15" customHeight="1">
      <c r="A3" s="87"/>
      <c r="B3" s="92" t="s">
        <v>5</v>
      </c>
      <c r="C3" s="93" t="s">
        <v>6</v>
      </c>
      <c r="D3" s="93" t="s">
        <v>7</v>
      </c>
      <c r="E3" s="94" t="s">
        <v>107</v>
      </c>
      <c r="F3" s="95" t="s">
        <v>79</v>
      </c>
      <c r="G3" s="95" t="s">
        <v>80</v>
      </c>
      <c r="H3" s="95" t="s">
        <v>81</v>
      </c>
      <c r="I3" s="96" t="s">
        <v>107</v>
      </c>
      <c r="J3" s="97" t="s">
        <v>83</v>
      </c>
      <c r="K3" s="97" t="s">
        <v>84</v>
      </c>
      <c r="L3" s="97" t="s">
        <v>85</v>
      </c>
      <c r="M3" s="96" t="s">
        <v>107</v>
      </c>
      <c r="N3" s="97" t="s">
        <v>109</v>
      </c>
      <c r="O3" s="97" t="s">
        <v>110</v>
      </c>
      <c r="P3" s="97" t="s">
        <v>111</v>
      </c>
      <c r="Q3" s="96" t="s">
        <v>107</v>
      </c>
    </row>
    <row r="4" spans="1:17" ht="15" customHeight="1">
      <c r="A4" s="98" t="s">
        <v>1</v>
      </c>
      <c r="B4" s="21">
        <f>'[1]Inc. tax regionwise'!J24</f>
        <v>15593.29007592</v>
      </c>
      <c r="C4" s="21">
        <v>16570.6</v>
      </c>
      <c r="D4" s="21">
        <v>23330.5</v>
      </c>
      <c r="E4" s="21">
        <f>SUM(B4:D4)</f>
        <v>55494.39007592</v>
      </c>
      <c r="F4" s="54">
        <v>17188.1</v>
      </c>
      <c r="G4" s="54">
        <v>17220.3</v>
      </c>
      <c r="H4" s="54">
        <v>26576.8</v>
      </c>
      <c r="I4" s="54">
        <f>SUM(F4:H4)</f>
        <v>60985.2</v>
      </c>
      <c r="J4" s="54">
        <v>17767.7</v>
      </c>
      <c r="K4" s="54">
        <v>16666.3</v>
      </c>
      <c r="L4" s="54">
        <v>25810.1</v>
      </c>
      <c r="M4" s="22">
        <f>SUM(J4:L4)</f>
        <v>60244.1</v>
      </c>
      <c r="N4" s="54">
        <v>17824.4</v>
      </c>
      <c r="O4" s="54">
        <v>17876.7</v>
      </c>
      <c r="P4" s="54">
        <v>28465.7</v>
      </c>
      <c r="Q4" s="22">
        <f>SUM(N4:P4)</f>
        <v>64166.8</v>
      </c>
    </row>
    <row r="5" spans="1:17" ht="15" customHeight="1">
      <c r="A5" s="98" t="s">
        <v>2</v>
      </c>
      <c r="B5" s="21">
        <f>'[1]VAT Regionwise'!J24</f>
        <v>11065.293868409999</v>
      </c>
      <c r="C5" s="21">
        <v>12658.6</v>
      </c>
      <c r="D5" s="21">
        <v>12915.8</v>
      </c>
      <c r="E5" s="21">
        <f>SUM(B5:D5)</f>
        <v>36639.69386841</v>
      </c>
      <c r="F5" s="54">
        <v>12436.1</v>
      </c>
      <c r="G5" s="54">
        <v>13566.6</v>
      </c>
      <c r="H5" s="54">
        <v>12359.9</v>
      </c>
      <c r="I5" s="54">
        <f>SUM(F5:H5)</f>
        <v>38362.6</v>
      </c>
      <c r="J5" s="54">
        <v>11800.1</v>
      </c>
      <c r="K5" s="54">
        <v>12922.9</v>
      </c>
      <c r="L5" s="54">
        <v>12821.4</v>
      </c>
      <c r="M5" s="22">
        <f aca="true" t="shared" si="0" ref="M5:M11">SUM(J5:L5)</f>
        <v>37544.4</v>
      </c>
      <c r="N5" s="54">
        <v>12462.1</v>
      </c>
      <c r="O5" s="54">
        <v>11561.7</v>
      </c>
      <c r="P5" s="54">
        <v>12746.7</v>
      </c>
      <c r="Q5" s="22">
        <f>SUM(N5:P5)</f>
        <v>36770.5</v>
      </c>
    </row>
    <row r="6" spans="1:17" ht="15" customHeight="1">
      <c r="A6" s="98" t="s">
        <v>89</v>
      </c>
      <c r="B6" s="21">
        <f>'[1]Customs Itemwise'!J23</f>
        <v>59355.139313</v>
      </c>
      <c r="C6" s="21">
        <v>61258.2</v>
      </c>
      <c r="D6" s="21">
        <v>64055</v>
      </c>
      <c r="E6" s="21">
        <f>SUM(B6:D6)</f>
        <v>184668.339313</v>
      </c>
      <c r="F6" s="54">
        <v>61639.6</v>
      </c>
      <c r="G6" s="54">
        <v>59753</v>
      </c>
      <c r="H6" s="54">
        <v>64016.49429999999</v>
      </c>
      <c r="I6" s="54">
        <f>SUM(F6:H6)</f>
        <v>185409.0943</v>
      </c>
      <c r="J6" s="54">
        <v>60987.610053</v>
      </c>
      <c r="K6" s="54">
        <v>62744.117163</v>
      </c>
      <c r="L6" s="54">
        <v>63047.14980000001</v>
      </c>
      <c r="M6" s="22">
        <f t="shared" si="0"/>
        <v>186778.877016</v>
      </c>
      <c r="N6" s="54">
        <v>61939.306444</v>
      </c>
      <c r="O6" s="54">
        <v>61487.9196</v>
      </c>
      <c r="P6" s="54">
        <v>69124.04159400001</v>
      </c>
      <c r="Q6" s="22">
        <f>SUM(N6:P6)</f>
        <v>192551.26763800002</v>
      </c>
    </row>
    <row r="7" spans="1:17" ht="15" customHeight="1">
      <c r="A7" s="98" t="s">
        <v>102</v>
      </c>
      <c r="B7" s="21">
        <f>'[1]L-TAX'!J25</f>
        <v>33164.209316</v>
      </c>
      <c r="C7" s="21">
        <v>38825.3</v>
      </c>
      <c r="D7" s="21">
        <v>54319.3</v>
      </c>
      <c r="E7" s="21">
        <f>SUM(B7:D7)</f>
        <v>126308.80931600001</v>
      </c>
      <c r="F7" s="54">
        <v>39651.4</v>
      </c>
      <c r="G7" s="54">
        <v>39449.4</v>
      </c>
      <c r="H7" s="54">
        <v>59040.8</v>
      </c>
      <c r="I7" s="54">
        <f>SUM(F7:H7)</f>
        <v>138141.6</v>
      </c>
      <c r="J7" s="54">
        <v>39385.2</v>
      </c>
      <c r="K7" s="54">
        <v>40306.7</v>
      </c>
      <c r="L7" s="54">
        <v>59205.6</v>
      </c>
      <c r="M7" s="22">
        <f t="shared" si="0"/>
        <v>138897.5</v>
      </c>
      <c r="N7" s="54">
        <v>38503.2</v>
      </c>
      <c r="O7" s="54">
        <v>38768.8</v>
      </c>
      <c r="P7" s="54">
        <v>62811.5</v>
      </c>
      <c r="Q7" s="22">
        <f>SUM(N7:P7)</f>
        <v>140083.5</v>
      </c>
    </row>
    <row r="8" spans="1:17" ht="15" customHeight="1">
      <c r="A8" s="17" t="s">
        <v>115</v>
      </c>
      <c r="B8" s="99">
        <f>SUM(B4:B7)</f>
        <v>119177.93257333</v>
      </c>
      <c r="C8" s="99">
        <f aca="true" t="shared" si="1" ref="C8:L8">SUM(C4:C7)</f>
        <v>129312.7</v>
      </c>
      <c r="D8" s="99">
        <f t="shared" si="1"/>
        <v>154620.6</v>
      </c>
      <c r="E8" s="99">
        <f t="shared" si="1"/>
        <v>403111.23257333</v>
      </c>
      <c r="F8" s="99">
        <f t="shared" si="1"/>
        <v>130915.19999999998</v>
      </c>
      <c r="G8" s="99">
        <f t="shared" si="1"/>
        <v>129989.29999999999</v>
      </c>
      <c r="H8" s="99">
        <f t="shared" si="1"/>
        <v>161993.9943</v>
      </c>
      <c r="I8" s="99">
        <f t="shared" si="1"/>
        <v>422898.4943</v>
      </c>
      <c r="J8" s="99">
        <f t="shared" si="1"/>
        <v>129940.610053</v>
      </c>
      <c r="K8" s="99">
        <f t="shared" si="1"/>
        <v>132640.017163</v>
      </c>
      <c r="L8" s="99">
        <f t="shared" si="1"/>
        <v>160884.24980000002</v>
      </c>
      <c r="M8" s="99">
        <f>SUM(M4:M7)</f>
        <v>423464.877016</v>
      </c>
      <c r="N8" s="99">
        <f>SUM(N4:N7)</f>
        <v>130729.006444</v>
      </c>
      <c r="O8" s="99">
        <f>SUM(O4:O7)</f>
        <v>129695.1196</v>
      </c>
      <c r="P8" s="99">
        <f>SUM(P4:P7)</f>
        <v>173147.941594</v>
      </c>
      <c r="Q8" s="99">
        <f>SUM(Q4:Q7)</f>
        <v>433572.067638</v>
      </c>
    </row>
    <row r="9" spans="1:17" ht="15" customHeight="1">
      <c r="A9" s="100" t="s">
        <v>104</v>
      </c>
      <c r="B9" s="21">
        <f>'[1]perf. by regions'!K25</f>
        <v>4866.9</v>
      </c>
      <c r="C9" s="21">
        <v>4531.7</v>
      </c>
      <c r="D9" s="21">
        <v>7035.4</v>
      </c>
      <c r="E9" s="21">
        <f>SUM(B9:D9)</f>
        <v>16434</v>
      </c>
      <c r="F9" s="21">
        <v>6075.6</v>
      </c>
      <c r="G9" s="21">
        <v>7410.3</v>
      </c>
      <c r="H9" s="21">
        <v>6005.9</v>
      </c>
      <c r="I9" s="21">
        <f>SUM(F9:H9)</f>
        <v>19491.800000000003</v>
      </c>
      <c r="J9" s="21">
        <v>6005.9</v>
      </c>
      <c r="K9" s="21">
        <v>6005.9</v>
      </c>
      <c r="L9" s="21">
        <v>6005.9</v>
      </c>
      <c r="M9" s="22">
        <f t="shared" si="0"/>
        <v>18017.699999999997</v>
      </c>
      <c r="N9" s="21">
        <v>6005.9</v>
      </c>
      <c r="O9" s="21">
        <v>6005.9</v>
      </c>
      <c r="P9" s="21">
        <v>6005.9</v>
      </c>
      <c r="Q9" s="22">
        <f>SUM(N9:P9)</f>
        <v>18017.699999999997</v>
      </c>
    </row>
    <row r="10" spans="1:17" ht="15" customHeight="1">
      <c r="A10" s="17" t="s">
        <v>116</v>
      </c>
      <c r="B10" s="99">
        <f aca="true" t="shared" si="2" ref="B10:M10">+B8-B9</f>
        <v>114311.03257333001</v>
      </c>
      <c r="C10" s="99">
        <f t="shared" si="2"/>
        <v>124781</v>
      </c>
      <c r="D10" s="99">
        <f t="shared" si="2"/>
        <v>147585.2</v>
      </c>
      <c r="E10" s="99">
        <f t="shared" si="2"/>
        <v>386677.23257333</v>
      </c>
      <c r="F10" s="99">
        <f t="shared" si="2"/>
        <v>124839.59999999998</v>
      </c>
      <c r="G10" s="99">
        <f t="shared" si="2"/>
        <v>122578.99999999999</v>
      </c>
      <c r="H10" s="99">
        <f t="shared" si="2"/>
        <v>155988.0943</v>
      </c>
      <c r="I10" s="99">
        <f t="shared" si="2"/>
        <v>403406.69430000003</v>
      </c>
      <c r="J10" s="99">
        <f t="shared" si="2"/>
        <v>123934.710053</v>
      </c>
      <c r="K10" s="99">
        <f t="shared" si="2"/>
        <v>126634.11716300002</v>
      </c>
      <c r="L10" s="99">
        <f t="shared" si="2"/>
        <v>154878.34980000003</v>
      </c>
      <c r="M10" s="99">
        <f t="shared" si="2"/>
        <v>405447.177016</v>
      </c>
      <c r="N10" s="99">
        <f>+N8-N9</f>
        <v>124723.106444</v>
      </c>
      <c r="O10" s="99">
        <f>+O8-O9</f>
        <v>123689.21960000001</v>
      </c>
      <c r="P10" s="99">
        <f>+P8-P9</f>
        <v>167142.041594</v>
      </c>
      <c r="Q10" s="99">
        <f>+Q8-Q9</f>
        <v>415554.367638</v>
      </c>
    </row>
    <row r="11" spans="1:17" ht="15" customHeight="1">
      <c r="A11" s="98" t="s">
        <v>3</v>
      </c>
      <c r="B11" s="21">
        <f>'[1]VAT Regionwise'!J27+'[1]Customs Regionwise'!J27</f>
        <v>1968.510127</v>
      </c>
      <c r="C11" s="21">
        <v>1365.5</v>
      </c>
      <c r="D11" s="21">
        <v>1009.4</v>
      </c>
      <c r="E11" s="21">
        <f>SUM(B11:D11)</f>
        <v>4343.410127</v>
      </c>
      <c r="F11" s="54">
        <v>820</v>
      </c>
      <c r="G11" s="54">
        <v>1146.1</v>
      </c>
      <c r="H11" s="54">
        <v>1687.5</v>
      </c>
      <c r="I11" s="54">
        <f>SUM(F11:H11)</f>
        <v>3653.6</v>
      </c>
      <c r="J11" s="54">
        <v>395.2</v>
      </c>
      <c r="K11" s="54">
        <v>1471.9</v>
      </c>
      <c r="L11" s="54">
        <v>1396</v>
      </c>
      <c r="M11" s="22">
        <f t="shared" si="0"/>
        <v>3263.1000000000004</v>
      </c>
      <c r="N11" s="54">
        <v>997.9</v>
      </c>
      <c r="O11" s="54">
        <v>1203.1</v>
      </c>
      <c r="P11" s="54">
        <v>1991.1</v>
      </c>
      <c r="Q11" s="22">
        <f>SUM(N11:P11)</f>
        <v>4192.1</v>
      </c>
    </row>
    <row r="12" spans="1:17" s="19" customFormat="1" ht="15" customHeight="1">
      <c r="A12" s="17" t="s">
        <v>4</v>
      </c>
      <c r="B12" s="101">
        <f aca="true" t="shared" si="3" ref="B12:L12">B10+B11</f>
        <v>116279.54270033001</v>
      </c>
      <c r="C12" s="101">
        <f t="shared" si="3"/>
        <v>126146.5</v>
      </c>
      <c r="D12" s="101">
        <f t="shared" si="3"/>
        <v>148594.6</v>
      </c>
      <c r="E12" s="101">
        <f t="shared" si="3"/>
        <v>391020.64270033</v>
      </c>
      <c r="F12" s="101">
        <f t="shared" si="3"/>
        <v>125659.59999999998</v>
      </c>
      <c r="G12" s="101">
        <f t="shared" si="3"/>
        <v>123725.09999999999</v>
      </c>
      <c r="H12" s="101">
        <f t="shared" si="3"/>
        <v>157675.5943</v>
      </c>
      <c r="I12" s="101">
        <f t="shared" si="3"/>
        <v>407060.2943</v>
      </c>
      <c r="J12" s="101">
        <f t="shared" si="3"/>
        <v>124329.910053</v>
      </c>
      <c r="K12" s="101">
        <f t="shared" si="3"/>
        <v>128106.01716300001</v>
      </c>
      <c r="L12" s="101">
        <f t="shared" si="3"/>
        <v>156274.34980000003</v>
      </c>
      <c r="M12" s="101">
        <f>M10+M11</f>
        <v>408710.27701599995</v>
      </c>
      <c r="N12" s="101">
        <f>N10+N11</f>
        <v>125721.006444</v>
      </c>
      <c r="O12" s="101">
        <f>O10+O11</f>
        <v>124892.31960000002</v>
      </c>
      <c r="P12" s="101">
        <f>P10+P11</f>
        <v>169133.14159400002</v>
      </c>
      <c r="Q12" s="101">
        <f>Q10+Q11</f>
        <v>419746.467638</v>
      </c>
    </row>
    <row r="13" spans="1:8" ht="15">
      <c r="A13" s="23" t="s">
        <v>113</v>
      </c>
      <c r="B13" s="102"/>
      <c r="C13" s="103"/>
      <c r="D13" s="104"/>
      <c r="E13" s="104"/>
      <c r="H13" s="104"/>
    </row>
    <row r="14" spans="3:5" ht="12.75">
      <c r="C14" s="103"/>
      <c r="D14" s="104"/>
      <c r="E14" s="104"/>
    </row>
    <row r="15" ht="12.75">
      <c r="C15" s="103"/>
    </row>
    <row r="16" spans="3:5" ht="12.75">
      <c r="C16" s="103"/>
      <c r="E16" s="104"/>
    </row>
    <row r="17" spans="3:5" ht="12.75">
      <c r="C17" s="103"/>
      <c r="E17" s="60"/>
    </row>
    <row r="18" spans="3:5" ht="12.75">
      <c r="C18" s="103"/>
      <c r="E18" s="104"/>
    </row>
    <row r="19" ht="12.75">
      <c r="C19" s="103"/>
    </row>
  </sheetData>
  <mergeCells count="5">
    <mergeCell ref="A2:A3"/>
    <mergeCell ref="N2:Q2"/>
    <mergeCell ref="F2:I2"/>
    <mergeCell ref="J2:M2"/>
    <mergeCell ref="B2:E2"/>
  </mergeCells>
  <printOptions horizontalCentered="1"/>
  <pageMargins left="0.11811023622047245" right="0.11811023622047245" top="0.984251968503937" bottom="0.984251968503937" header="0.5118110236220472" footer="0.5118110236220472"/>
  <pageSetup fitToHeight="0" horizontalDpi="600" verticalDpi="600" orientation="landscape" paperSize="9" scale="65" r:id="rId1"/>
  <headerFooter alignWithMargins="0">
    <oddHeader>&amp;C&amp;"Arial,Bold"&amp;12TANZANIA REVENUE AUTHORITY
Actual Revenue Collections (Quarterly)  for 2004/05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5"/>
  <sheetViews>
    <sheetView view="pageBreakPreview" zoomScaleSheetLayoutView="100" workbookViewId="0" topLeftCell="A50">
      <selection activeCell="A65" sqref="A65"/>
    </sheetView>
  </sheetViews>
  <sheetFormatPr defaultColWidth="9.140625" defaultRowHeight="12.75"/>
  <cols>
    <col min="1" max="1" width="34.8515625" style="3" customWidth="1"/>
    <col min="2" max="4" width="10.7109375" style="3" customWidth="1"/>
    <col min="5" max="5" width="11.7109375" style="3" customWidth="1"/>
    <col min="6" max="8" width="10.7109375" style="3" customWidth="1"/>
    <col min="9" max="9" width="11.7109375" style="3" customWidth="1"/>
    <col min="10" max="12" width="10.7109375" style="3" customWidth="1"/>
    <col min="13" max="17" width="11.7109375" style="3" customWidth="1"/>
    <col min="18" max="16384" width="9.140625" style="3" customWidth="1"/>
  </cols>
  <sheetData>
    <row r="1" spans="1:17" ht="12.75">
      <c r="A1" s="106" t="s">
        <v>59</v>
      </c>
      <c r="B1" s="2"/>
      <c r="Q1" s="4" t="s">
        <v>114</v>
      </c>
    </row>
    <row r="2" spans="1:17" ht="12.75" customHeight="1">
      <c r="A2" s="5" t="s">
        <v>106</v>
      </c>
      <c r="B2" s="6" t="s">
        <v>8</v>
      </c>
      <c r="C2" s="6"/>
      <c r="D2" s="6"/>
      <c r="E2" s="6"/>
      <c r="F2" s="6" t="s">
        <v>82</v>
      </c>
      <c r="G2" s="6"/>
      <c r="H2" s="6"/>
      <c r="I2" s="6"/>
      <c r="J2" s="6" t="s">
        <v>86</v>
      </c>
      <c r="K2" s="6"/>
      <c r="L2" s="6"/>
      <c r="M2" s="6"/>
      <c r="N2" s="6" t="s">
        <v>108</v>
      </c>
      <c r="O2" s="6"/>
      <c r="P2" s="6"/>
      <c r="Q2" s="6"/>
    </row>
    <row r="3" spans="1:17" ht="12.75" customHeight="1">
      <c r="A3" s="5"/>
      <c r="B3" s="7" t="s">
        <v>5</v>
      </c>
      <c r="C3" s="7" t="s">
        <v>6</v>
      </c>
      <c r="D3" s="7" t="s">
        <v>7</v>
      </c>
      <c r="E3" s="7" t="s">
        <v>107</v>
      </c>
      <c r="F3" s="7" t="s">
        <v>79</v>
      </c>
      <c r="G3" s="7" t="s">
        <v>80</v>
      </c>
      <c r="H3" s="7" t="s">
        <v>81</v>
      </c>
      <c r="I3" s="7" t="s">
        <v>107</v>
      </c>
      <c r="J3" s="7" t="s">
        <v>83</v>
      </c>
      <c r="K3" s="7" t="s">
        <v>84</v>
      </c>
      <c r="L3" s="7" t="s">
        <v>85</v>
      </c>
      <c r="M3" s="7" t="s">
        <v>107</v>
      </c>
      <c r="N3" s="7" t="s">
        <v>109</v>
      </c>
      <c r="O3" s="7" t="s">
        <v>110</v>
      </c>
      <c r="P3" s="7" t="s">
        <v>111</v>
      </c>
      <c r="Q3" s="7" t="s">
        <v>107</v>
      </c>
    </row>
    <row r="4" spans="1:17" ht="12.75">
      <c r="A4" s="8" t="s">
        <v>9</v>
      </c>
      <c r="B4" s="9">
        <v>2093.237821</v>
      </c>
      <c r="C4" s="9">
        <v>1964.2</v>
      </c>
      <c r="D4" s="9">
        <f>6011.2</f>
        <v>6011.2</v>
      </c>
      <c r="E4" s="9">
        <f>SUM(B4:D4)</f>
        <v>10068.637821</v>
      </c>
      <c r="F4" s="9">
        <v>1920.1</v>
      </c>
      <c r="G4" s="9">
        <v>1900.1</v>
      </c>
      <c r="H4" s="9">
        <v>6768.4</v>
      </c>
      <c r="I4" s="9">
        <f>SUM(F4:H4)</f>
        <v>10588.599999999999</v>
      </c>
      <c r="J4" s="9">
        <v>2427.8</v>
      </c>
      <c r="K4" s="9">
        <v>1938.6</v>
      </c>
      <c r="L4" s="9">
        <v>7078.6</v>
      </c>
      <c r="M4" s="9">
        <f>SUM(J4:L4)</f>
        <v>11445</v>
      </c>
      <c r="N4" s="9">
        <v>1630.4</v>
      </c>
      <c r="O4" s="9">
        <v>2004.2</v>
      </c>
      <c r="P4" s="9">
        <v>7488.4</v>
      </c>
      <c r="Q4" s="9">
        <f>SUM(N4:P4)</f>
        <v>11123</v>
      </c>
    </row>
    <row r="5" spans="1:17" ht="12.75">
      <c r="A5" s="8" t="s">
        <v>10</v>
      </c>
      <c r="B5" s="9">
        <v>603.2</v>
      </c>
      <c r="C5" s="9">
        <v>132.1</v>
      </c>
      <c r="D5" s="9">
        <v>639.9</v>
      </c>
      <c r="E5" s="9">
        <f aca="true" t="shared" si="0" ref="E5:E18">SUM(B5:D5)</f>
        <v>1375.2</v>
      </c>
      <c r="F5" s="9">
        <v>148.6</v>
      </c>
      <c r="G5" s="9">
        <v>180</v>
      </c>
      <c r="H5" s="9">
        <v>214.4</v>
      </c>
      <c r="I5" s="9">
        <f aca="true" t="shared" si="1" ref="I5:I18">SUM(F5:H5)</f>
        <v>543</v>
      </c>
      <c r="J5" s="9">
        <v>72.8</v>
      </c>
      <c r="K5" s="9">
        <v>20.6</v>
      </c>
      <c r="L5" s="9">
        <v>2.1</v>
      </c>
      <c r="M5" s="9">
        <f aca="true" t="shared" si="2" ref="M5:M18">SUM(J5:L5)</f>
        <v>95.5</v>
      </c>
      <c r="N5" s="9">
        <v>0.3</v>
      </c>
      <c r="O5" s="9">
        <v>101.1</v>
      </c>
      <c r="P5" s="9">
        <v>122.2</v>
      </c>
      <c r="Q5" s="9">
        <f aca="true" t="shared" si="3" ref="Q5:Q18">SUM(N5:P5)</f>
        <v>223.6</v>
      </c>
    </row>
    <row r="6" spans="1:17" ht="12.75">
      <c r="A6" s="8" t="s">
        <v>11</v>
      </c>
      <c r="B6" s="9">
        <v>1456.1</v>
      </c>
      <c r="C6" s="9">
        <f>526.6+888.3</f>
        <v>1414.9</v>
      </c>
      <c r="D6" s="9">
        <f>271.2+2560.4</f>
        <v>2831.6</v>
      </c>
      <c r="E6" s="9">
        <f t="shared" si="0"/>
        <v>5702.6</v>
      </c>
      <c r="F6" s="9">
        <v>1355.4</v>
      </c>
      <c r="G6" s="9">
        <v>1594.1</v>
      </c>
      <c r="H6" s="9">
        <v>3813.7</v>
      </c>
      <c r="I6" s="9">
        <f t="shared" si="1"/>
        <v>6763.2</v>
      </c>
      <c r="J6" s="9">
        <v>1424.012233</v>
      </c>
      <c r="K6" s="9">
        <v>1261.8</v>
      </c>
      <c r="L6" s="9">
        <v>3837.8</v>
      </c>
      <c r="M6" s="9">
        <f t="shared" si="2"/>
        <v>6523.612233</v>
      </c>
      <c r="N6" s="9">
        <v>1949.2</v>
      </c>
      <c r="O6" s="9">
        <v>1268.2</v>
      </c>
      <c r="P6" s="9">
        <v>3861.1</v>
      </c>
      <c r="Q6" s="9">
        <f t="shared" si="3"/>
        <v>7078.5</v>
      </c>
    </row>
    <row r="7" spans="1:17" ht="12.75">
      <c r="A7" s="8" t="s">
        <v>12</v>
      </c>
      <c r="B7" s="10">
        <v>0.048</v>
      </c>
      <c r="C7" s="11">
        <v>0</v>
      </c>
      <c r="D7" s="11">
        <v>0</v>
      </c>
      <c r="E7" s="12">
        <f t="shared" si="0"/>
        <v>0.048</v>
      </c>
      <c r="F7" s="11">
        <v>0.3</v>
      </c>
      <c r="G7" s="9">
        <v>0</v>
      </c>
      <c r="H7" s="11">
        <v>1.7</v>
      </c>
      <c r="I7" s="9">
        <f t="shared" si="1"/>
        <v>2</v>
      </c>
      <c r="J7" s="11">
        <v>0</v>
      </c>
      <c r="K7" s="11">
        <v>0</v>
      </c>
      <c r="L7" s="11">
        <v>0</v>
      </c>
      <c r="M7" s="9">
        <f t="shared" si="2"/>
        <v>0</v>
      </c>
      <c r="N7" s="9">
        <v>0</v>
      </c>
      <c r="O7" s="9">
        <v>0</v>
      </c>
      <c r="P7" s="9">
        <v>0</v>
      </c>
      <c r="Q7" s="9">
        <f t="shared" si="3"/>
        <v>0</v>
      </c>
    </row>
    <row r="8" spans="1:17" ht="12.75">
      <c r="A8" s="13" t="s">
        <v>93</v>
      </c>
      <c r="B8" s="9">
        <v>1464.806726</v>
      </c>
      <c r="C8" s="9">
        <v>1039.2</v>
      </c>
      <c r="D8" s="9">
        <v>891.8</v>
      </c>
      <c r="E8" s="9">
        <f t="shared" si="0"/>
        <v>3395.806726</v>
      </c>
      <c r="F8" s="9">
        <v>870.4</v>
      </c>
      <c r="G8" s="9">
        <v>1081.1</v>
      </c>
      <c r="H8" s="9">
        <v>1125.3</v>
      </c>
      <c r="I8" s="9">
        <f t="shared" si="1"/>
        <v>3076.8</v>
      </c>
      <c r="J8" s="9">
        <v>1335</v>
      </c>
      <c r="K8" s="9">
        <v>613.6</v>
      </c>
      <c r="L8" s="9">
        <v>766.1</v>
      </c>
      <c r="M8" s="9">
        <f t="shared" si="2"/>
        <v>2714.7</v>
      </c>
      <c r="N8" s="9">
        <v>918.7</v>
      </c>
      <c r="O8" s="9">
        <v>969.4</v>
      </c>
      <c r="P8" s="9">
        <v>1371.9</v>
      </c>
      <c r="Q8" s="9">
        <f t="shared" si="3"/>
        <v>3260</v>
      </c>
    </row>
    <row r="9" spans="1:17" ht="12.75">
      <c r="A9" s="8" t="s">
        <v>13</v>
      </c>
      <c r="B9" s="9">
        <v>344.8</v>
      </c>
      <c r="C9" s="9">
        <v>70.4</v>
      </c>
      <c r="D9" s="9">
        <v>289.8</v>
      </c>
      <c r="E9" s="9">
        <f t="shared" si="0"/>
        <v>705</v>
      </c>
      <c r="F9" s="9">
        <v>73.8</v>
      </c>
      <c r="G9" s="9">
        <v>57.5</v>
      </c>
      <c r="H9" s="9">
        <v>120.4</v>
      </c>
      <c r="I9" s="9">
        <f t="shared" si="1"/>
        <v>251.70000000000002</v>
      </c>
      <c r="J9" s="9">
        <v>78.5</v>
      </c>
      <c r="K9" s="9">
        <v>65.8</v>
      </c>
      <c r="L9" s="9">
        <v>101.9</v>
      </c>
      <c r="M9" s="9">
        <f t="shared" si="2"/>
        <v>246.20000000000002</v>
      </c>
      <c r="N9" s="9">
        <v>98.6</v>
      </c>
      <c r="O9" s="9">
        <v>73.5</v>
      </c>
      <c r="P9" s="9">
        <v>102.1</v>
      </c>
      <c r="Q9" s="9">
        <f t="shared" si="3"/>
        <v>274.2</v>
      </c>
    </row>
    <row r="10" spans="1:17" ht="12.75">
      <c r="A10" s="8" t="s">
        <v>14</v>
      </c>
      <c r="B10" s="9">
        <v>19.9</v>
      </c>
      <c r="C10" s="9">
        <v>116.7</v>
      </c>
      <c r="D10" s="9">
        <v>186.5</v>
      </c>
      <c r="E10" s="9">
        <f t="shared" si="0"/>
        <v>323.1</v>
      </c>
      <c r="F10" s="9">
        <v>129</v>
      </c>
      <c r="G10" s="9">
        <v>238.8</v>
      </c>
      <c r="H10" s="9">
        <v>270.6</v>
      </c>
      <c r="I10" s="9">
        <f t="shared" si="1"/>
        <v>638.4000000000001</v>
      </c>
      <c r="J10" s="9">
        <v>252.9</v>
      </c>
      <c r="K10" s="9">
        <v>140.8</v>
      </c>
      <c r="L10" s="9"/>
      <c r="M10" s="9">
        <f t="shared" si="2"/>
        <v>393.70000000000005</v>
      </c>
      <c r="N10" s="9">
        <v>100</v>
      </c>
      <c r="O10" s="9">
        <v>134.5</v>
      </c>
      <c r="P10" s="9">
        <v>112.5</v>
      </c>
      <c r="Q10" s="9">
        <f t="shared" si="3"/>
        <v>347</v>
      </c>
    </row>
    <row r="11" spans="1:17" ht="12.75">
      <c r="A11" s="8" t="s">
        <v>15</v>
      </c>
      <c r="B11" s="9">
        <v>40.4</v>
      </c>
      <c r="C11" s="9">
        <v>69.3</v>
      </c>
      <c r="D11" s="9">
        <v>9.9</v>
      </c>
      <c r="E11" s="9">
        <f t="shared" si="0"/>
        <v>119.6</v>
      </c>
      <c r="F11" s="9">
        <v>83.6</v>
      </c>
      <c r="G11" s="9">
        <v>13.8</v>
      </c>
      <c r="H11" s="9">
        <v>11.8</v>
      </c>
      <c r="I11" s="9">
        <f t="shared" si="1"/>
        <v>109.19999999999999</v>
      </c>
      <c r="J11" s="9">
        <v>83.9</v>
      </c>
      <c r="K11" s="9">
        <v>9.3</v>
      </c>
      <c r="L11" s="9">
        <v>38.5</v>
      </c>
      <c r="M11" s="9">
        <f t="shared" si="2"/>
        <v>131.7</v>
      </c>
      <c r="N11" s="9">
        <v>22</v>
      </c>
      <c r="O11" s="9">
        <v>9.9</v>
      </c>
      <c r="P11" s="9">
        <v>30.2</v>
      </c>
      <c r="Q11" s="9">
        <f t="shared" si="3"/>
        <v>62.099999999999994</v>
      </c>
    </row>
    <row r="12" spans="1:17" ht="12.75">
      <c r="A12" s="8" t="s">
        <v>96</v>
      </c>
      <c r="B12" s="9">
        <v>10.2</v>
      </c>
      <c r="C12" s="9">
        <f>0.4+17.8+0.2+0.2-0.2</f>
        <v>18.4</v>
      </c>
      <c r="D12" s="9">
        <f>15.9+1.4</f>
        <v>17.3</v>
      </c>
      <c r="E12" s="9">
        <f t="shared" si="0"/>
        <v>45.9</v>
      </c>
      <c r="F12" s="9">
        <v>21.599999999998545</v>
      </c>
      <c r="G12" s="9">
        <v>52.5</v>
      </c>
      <c r="H12" s="9">
        <v>14.3</v>
      </c>
      <c r="I12" s="9">
        <f t="shared" si="1"/>
        <v>88.39999999999854</v>
      </c>
      <c r="J12" s="9">
        <v>37.4</v>
      </c>
      <c r="K12" s="9">
        <v>268.4</v>
      </c>
      <c r="L12" s="9">
        <v>179.8</v>
      </c>
      <c r="M12" s="9">
        <f t="shared" si="2"/>
        <v>485.59999999999997</v>
      </c>
      <c r="N12" s="9">
        <v>53.9</v>
      </c>
      <c r="O12" s="9">
        <v>57.7</v>
      </c>
      <c r="P12" s="9">
        <v>203.4</v>
      </c>
      <c r="Q12" s="9">
        <f t="shared" si="3"/>
        <v>315</v>
      </c>
    </row>
    <row r="13" spans="1:17" ht="12.75">
      <c r="A13" s="8" t="s">
        <v>90</v>
      </c>
      <c r="B13" s="9">
        <v>171.9</v>
      </c>
      <c r="C13" s="9">
        <f>223.7+25.6</f>
        <v>249.29999999999998</v>
      </c>
      <c r="D13" s="9">
        <f>39.5+414.8</f>
        <v>454.3</v>
      </c>
      <c r="E13" s="9">
        <f t="shared" si="0"/>
        <v>875.5</v>
      </c>
      <c r="F13" s="9">
        <v>966.3</v>
      </c>
      <c r="G13" s="14">
        <v>85.1</v>
      </c>
      <c r="H13" s="9">
        <v>389.6</v>
      </c>
      <c r="I13" s="9">
        <f t="shared" si="1"/>
        <v>1441</v>
      </c>
      <c r="J13" s="9">
        <v>182.6</v>
      </c>
      <c r="K13" s="9">
        <v>231.9</v>
      </c>
      <c r="L13" s="9">
        <v>326.6</v>
      </c>
      <c r="M13" s="9">
        <f t="shared" si="2"/>
        <v>741.1</v>
      </c>
      <c r="N13" s="9">
        <v>287.9</v>
      </c>
      <c r="O13" s="9">
        <v>132.9</v>
      </c>
      <c r="P13" s="9">
        <v>136.5</v>
      </c>
      <c r="Q13" s="9">
        <f t="shared" si="3"/>
        <v>557.3</v>
      </c>
    </row>
    <row r="14" spans="1:17" ht="12.75" customHeight="1">
      <c r="A14" s="15" t="s">
        <v>91</v>
      </c>
      <c r="B14" s="9">
        <v>1.6</v>
      </c>
      <c r="C14" s="9">
        <v>2.7</v>
      </c>
      <c r="D14" s="9">
        <v>1.5</v>
      </c>
      <c r="E14" s="9">
        <f t="shared" si="0"/>
        <v>5.800000000000001</v>
      </c>
      <c r="F14" s="9">
        <v>2.5</v>
      </c>
      <c r="G14" s="9">
        <v>2.7</v>
      </c>
      <c r="H14" s="9">
        <v>32.4</v>
      </c>
      <c r="I14" s="9">
        <f t="shared" si="1"/>
        <v>37.6</v>
      </c>
      <c r="J14" s="9">
        <v>0.1</v>
      </c>
      <c r="K14" s="9">
        <v>0.330943</v>
      </c>
      <c r="L14" s="9">
        <v>4.6</v>
      </c>
      <c r="M14" s="9">
        <f t="shared" si="2"/>
        <v>5.030943</v>
      </c>
      <c r="N14" s="9">
        <v>0.908199</v>
      </c>
      <c r="O14" s="9">
        <v>0.1</v>
      </c>
      <c r="P14" s="9">
        <v>28.5</v>
      </c>
      <c r="Q14" s="9">
        <f t="shared" si="3"/>
        <v>29.508199</v>
      </c>
    </row>
    <row r="15" spans="1:17" ht="12.75">
      <c r="A15" s="8" t="s">
        <v>92</v>
      </c>
      <c r="B15" s="9">
        <v>27.2</v>
      </c>
      <c r="C15" s="9">
        <v>53.6</v>
      </c>
      <c r="D15" s="9">
        <v>22.7</v>
      </c>
      <c r="E15" s="9">
        <f t="shared" si="0"/>
        <v>103.5</v>
      </c>
      <c r="F15" s="9">
        <v>9.3</v>
      </c>
      <c r="G15" s="9">
        <v>12</v>
      </c>
      <c r="H15" s="9">
        <v>32.5</v>
      </c>
      <c r="I15" s="9">
        <f t="shared" si="1"/>
        <v>53.8</v>
      </c>
      <c r="J15" s="9">
        <v>72.9</v>
      </c>
      <c r="K15" s="9">
        <v>56</v>
      </c>
      <c r="L15" s="9">
        <v>44.6</v>
      </c>
      <c r="M15" s="9">
        <f t="shared" si="2"/>
        <v>173.5</v>
      </c>
      <c r="N15" s="9">
        <v>12.8</v>
      </c>
      <c r="O15" s="9">
        <v>20.6</v>
      </c>
      <c r="P15" s="9">
        <v>13.2</v>
      </c>
      <c r="Q15" s="9">
        <f t="shared" si="3"/>
        <v>46.60000000000001</v>
      </c>
    </row>
    <row r="16" spans="1:17" ht="12" customHeight="1">
      <c r="A16" s="8" t="s">
        <v>16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16">
        <v>0</v>
      </c>
      <c r="H16" s="9">
        <v>0</v>
      </c>
      <c r="I16" s="9">
        <f t="shared" si="1"/>
        <v>0</v>
      </c>
      <c r="J16" s="9">
        <v>0.1</v>
      </c>
      <c r="K16" s="9">
        <v>0</v>
      </c>
      <c r="L16" s="9">
        <v>0</v>
      </c>
      <c r="M16" s="9">
        <f t="shared" si="2"/>
        <v>0.1</v>
      </c>
      <c r="N16" s="9">
        <v>0</v>
      </c>
      <c r="O16" s="9">
        <v>0</v>
      </c>
      <c r="P16" s="9">
        <v>0</v>
      </c>
      <c r="Q16" s="9">
        <f t="shared" si="3"/>
        <v>0</v>
      </c>
    </row>
    <row r="17" spans="1:17" ht="12.75">
      <c r="A17" s="8" t="s">
        <v>17</v>
      </c>
      <c r="B17" s="9">
        <v>376.151572</v>
      </c>
      <c r="C17" s="9">
        <v>454.7</v>
      </c>
      <c r="D17" s="9">
        <v>653.5</v>
      </c>
      <c r="E17" s="9">
        <f t="shared" si="0"/>
        <v>1484.351572</v>
      </c>
      <c r="F17" s="9">
        <v>562.8</v>
      </c>
      <c r="G17" s="9">
        <v>391.1</v>
      </c>
      <c r="H17" s="9">
        <v>520.6</v>
      </c>
      <c r="I17" s="9">
        <f t="shared" si="1"/>
        <v>1474.5</v>
      </c>
      <c r="J17" s="9">
        <v>479.9</v>
      </c>
      <c r="K17" s="9">
        <v>382.3</v>
      </c>
      <c r="L17" s="9">
        <v>568.7</v>
      </c>
      <c r="M17" s="9">
        <f t="shared" si="2"/>
        <v>1430.9</v>
      </c>
      <c r="N17" s="9">
        <v>396.4</v>
      </c>
      <c r="O17" s="9">
        <v>391.8</v>
      </c>
      <c r="P17" s="9">
        <v>517</v>
      </c>
      <c r="Q17" s="9">
        <f t="shared" si="3"/>
        <v>1305.2</v>
      </c>
    </row>
    <row r="18" spans="1:17" ht="12.75">
      <c r="A18" s="8" t="s">
        <v>18</v>
      </c>
      <c r="B18" s="9">
        <v>43.278</v>
      </c>
      <c r="C18" s="9">
        <v>29.7</v>
      </c>
      <c r="D18" s="9">
        <v>29.2</v>
      </c>
      <c r="E18" s="9">
        <f t="shared" si="0"/>
        <v>102.178</v>
      </c>
      <c r="F18" s="9">
        <v>30.2</v>
      </c>
      <c r="G18" s="9">
        <v>36.8</v>
      </c>
      <c r="H18" s="9">
        <v>30.7</v>
      </c>
      <c r="I18" s="9">
        <f t="shared" si="1"/>
        <v>97.7</v>
      </c>
      <c r="J18" s="9">
        <v>69.1</v>
      </c>
      <c r="K18" s="9">
        <v>61.8</v>
      </c>
      <c r="L18" s="9">
        <v>52.8</v>
      </c>
      <c r="M18" s="9">
        <f t="shared" si="2"/>
        <v>183.7</v>
      </c>
      <c r="N18" s="9">
        <v>60.9</v>
      </c>
      <c r="O18" s="9">
        <v>39.6</v>
      </c>
      <c r="P18" s="9">
        <v>30.2</v>
      </c>
      <c r="Q18" s="9">
        <f t="shared" si="3"/>
        <v>130.7</v>
      </c>
    </row>
    <row r="19" spans="1:17" s="19" customFormat="1" ht="12.75">
      <c r="A19" s="17" t="s">
        <v>48</v>
      </c>
      <c r="B19" s="18">
        <f aca="true" t="shared" si="4" ref="B19:M19">SUM(B4:B18)</f>
        <v>6652.822118999999</v>
      </c>
      <c r="C19" s="18">
        <f t="shared" si="4"/>
        <v>5615.2</v>
      </c>
      <c r="D19" s="18">
        <f t="shared" si="4"/>
        <v>12039.199999999997</v>
      </c>
      <c r="E19" s="18">
        <f t="shared" si="4"/>
        <v>24307.222118999995</v>
      </c>
      <c r="F19" s="18">
        <f t="shared" si="4"/>
        <v>6173.9</v>
      </c>
      <c r="G19" s="18">
        <f t="shared" si="4"/>
        <v>5645.6</v>
      </c>
      <c r="H19" s="18">
        <f t="shared" si="4"/>
        <v>13346.4</v>
      </c>
      <c r="I19" s="18">
        <f t="shared" si="4"/>
        <v>25165.899999999998</v>
      </c>
      <c r="J19" s="18">
        <f t="shared" si="4"/>
        <v>6517.0122329999995</v>
      </c>
      <c r="K19" s="18">
        <f t="shared" si="4"/>
        <v>5051.2309430000005</v>
      </c>
      <c r="L19" s="18">
        <f t="shared" si="4"/>
        <v>13002.1</v>
      </c>
      <c r="M19" s="18">
        <f t="shared" si="4"/>
        <v>24570.343176000002</v>
      </c>
      <c r="N19" s="18">
        <f>SUM(N4:N18)</f>
        <v>5532.008199</v>
      </c>
      <c r="O19" s="18">
        <f>SUM(O4:O18)</f>
        <v>5203.5</v>
      </c>
      <c r="P19" s="18">
        <f>SUM(P4:P18)</f>
        <v>14017.2</v>
      </c>
      <c r="Q19" s="18">
        <f>SUM(Q4:Q18)</f>
        <v>24752.708198999997</v>
      </c>
    </row>
    <row r="20" spans="1:17" ht="12.75">
      <c r="A20" s="8" t="s">
        <v>77</v>
      </c>
      <c r="B20" s="9">
        <v>7379.6</v>
      </c>
      <c r="C20" s="9">
        <f>3676.6+541.8+4862.4</f>
        <v>9080.8</v>
      </c>
      <c r="D20" s="9">
        <f>4156.8+448+4639.4</f>
        <v>9244.2</v>
      </c>
      <c r="E20" s="9">
        <f>SUM(B20:D20)</f>
        <v>25704.600000000002</v>
      </c>
      <c r="F20" s="9">
        <v>9142.8</v>
      </c>
      <c r="G20" s="9">
        <v>9597.5</v>
      </c>
      <c r="H20" s="9">
        <v>10851.4</v>
      </c>
      <c r="I20" s="9">
        <f>SUM(F20:H20)</f>
        <v>29591.699999999997</v>
      </c>
      <c r="J20" s="9">
        <v>9362.897261</v>
      </c>
      <c r="K20" s="9">
        <v>9710.2</v>
      </c>
      <c r="L20" s="9">
        <v>10648.2</v>
      </c>
      <c r="M20" s="9">
        <f>SUM(J20:L20)</f>
        <v>29721.297261000003</v>
      </c>
      <c r="N20" s="9">
        <v>10169.4</v>
      </c>
      <c r="O20" s="9">
        <v>10414.7</v>
      </c>
      <c r="P20" s="9">
        <v>12152.3</v>
      </c>
      <c r="Q20" s="9">
        <f>SUM(N20:P20)</f>
        <v>32736.399999999998</v>
      </c>
    </row>
    <row r="21" spans="1:17" ht="12.75">
      <c r="A21" s="8" t="s">
        <v>94</v>
      </c>
      <c r="B21" s="9">
        <v>1560.9</v>
      </c>
      <c r="C21" s="9">
        <v>1874.6</v>
      </c>
      <c r="D21" s="9">
        <v>2047.1</v>
      </c>
      <c r="E21" s="9">
        <f>SUM(B21:D21)</f>
        <v>5482.6</v>
      </c>
      <c r="F21" s="9">
        <v>1871.4</v>
      </c>
      <c r="G21" s="9">
        <v>1977.2</v>
      </c>
      <c r="H21" s="9">
        <v>2379</v>
      </c>
      <c r="I21" s="9">
        <f>SUM(F21:H21)</f>
        <v>6227.6</v>
      </c>
      <c r="J21" s="9">
        <v>1887.8</v>
      </c>
      <c r="K21" s="9">
        <v>1904.9</v>
      </c>
      <c r="L21" s="9">
        <v>2159.8</v>
      </c>
      <c r="M21" s="9">
        <f>SUM(J21:L21)</f>
        <v>5952.5</v>
      </c>
      <c r="N21" s="9">
        <v>2123</v>
      </c>
      <c r="O21" s="9">
        <v>2258.5</v>
      </c>
      <c r="P21" s="9">
        <v>2296.2</v>
      </c>
      <c r="Q21" s="9">
        <f>SUM(N21:P21)</f>
        <v>6677.7</v>
      </c>
    </row>
    <row r="22" spans="1:17" s="19" customFormat="1" ht="12.75">
      <c r="A22" s="17" t="s">
        <v>48</v>
      </c>
      <c r="B22" s="18">
        <f aca="true" t="shared" si="5" ref="B22:M22">SUM(B20:B21)</f>
        <v>8940.5</v>
      </c>
      <c r="C22" s="18">
        <f t="shared" si="5"/>
        <v>10955.4</v>
      </c>
      <c r="D22" s="18">
        <f t="shared" si="5"/>
        <v>11291.300000000001</v>
      </c>
      <c r="E22" s="18">
        <f t="shared" si="5"/>
        <v>31187.200000000004</v>
      </c>
      <c r="F22" s="18">
        <f t="shared" si="5"/>
        <v>11014.199999999999</v>
      </c>
      <c r="G22" s="18">
        <f t="shared" si="5"/>
        <v>11574.7</v>
      </c>
      <c r="H22" s="18">
        <f t="shared" si="5"/>
        <v>13230.4</v>
      </c>
      <c r="I22" s="18">
        <f t="shared" si="5"/>
        <v>35819.299999999996</v>
      </c>
      <c r="J22" s="18">
        <f t="shared" si="5"/>
        <v>11250.697261</v>
      </c>
      <c r="K22" s="18">
        <f t="shared" si="5"/>
        <v>11615.1</v>
      </c>
      <c r="L22" s="18">
        <f t="shared" si="5"/>
        <v>12808</v>
      </c>
      <c r="M22" s="18">
        <f t="shared" si="5"/>
        <v>35673.797261</v>
      </c>
      <c r="N22" s="18">
        <f>SUM(N20:N21)</f>
        <v>12292.4</v>
      </c>
      <c r="O22" s="18">
        <f>SUM(O20:O21)</f>
        <v>12673.2</v>
      </c>
      <c r="P22" s="18">
        <f>SUM(P20:P21)</f>
        <v>14448.5</v>
      </c>
      <c r="Q22" s="18">
        <f>SUM(Q20:Q21)</f>
        <v>39414.1</v>
      </c>
    </row>
    <row r="23" spans="1:17" ht="14.25" customHeight="1">
      <c r="A23" s="17" t="s">
        <v>115</v>
      </c>
      <c r="B23" s="18">
        <f aca="true" t="shared" si="6" ref="B23:M23">+B19+B22</f>
        <v>15593.322118999999</v>
      </c>
      <c r="C23" s="18">
        <f t="shared" si="6"/>
        <v>16570.6</v>
      </c>
      <c r="D23" s="18">
        <f t="shared" si="6"/>
        <v>23330.5</v>
      </c>
      <c r="E23" s="18">
        <f t="shared" si="6"/>
        <v>55494.422118999995</v>
      </c>
      <c r="F23" s="18">
        <f t="shared" si="6"/>
        <v>17188.1</v>
      </c>
      <c r="G23" s="18">
        <f t="shared" si="6"/>
        <v>17220.300000000003</v>
      </c>
      <c r="H23" s="18">
        <f t="shared" si="6"/>
        <v>26576.8</v>
      </c>
      <c r="I23" s="18">
        <f t="shared" si="6"/>
        <v>60985.2</v>
      </c>
      <c r="J23" s="18">
        <f t="shared" si="6"/>
        <v>17767.709494</v>
      </c>
      <c r="K23" s="18">
        <f t="shared" si="6"/>
        <v>16666.330943</v>
      </c>
      <c r="L23" s="18">
        <f t="shared" si="6"/>
        <v>25810.1</v>
      </c>
      <c r="M23" s="18">
        <f t="shared" si="6"/>
        <v>60244.140437</v>
      </c>
      <c r="N23" s="18">
        <f>+N19+N22</f>
        <v>17824.408198999998</v>
      </c>
      <c r="O23" s="18">
        <f>+O19+O22</f>
        <v>17876.7</v>
      </c>
      <c r="P23" s="18">
        <f>+P19+P22</f>
        <v>28465.7</v>
      </c>
      <c r="Q23" s="18">
        <f>+Q19+Q22</f>
        <v>64166.80819899999</v>
      </c>
    </row>
    <row r="24" spans="1:17" ht="14.25" customHeight="1">
      <c r="A24" s="20" t="s">
        <v>104</v>
      </c>
      <c r="B24" s="21">
        <v>1065.9</v>
      </c>
      <c r="C24" s="21">
        <f>1065.9-479.8</f>
        <v>586.1000000000001</v>
      </c>
      <c r="D24" s="21">
        <f>1510.5-479.8</f>
        <v>1030.7</v>
      </c>
      <c r="E24" s="21">
        <f>SUM(B24:D24)</f>
        <v>2682.7000000000003</v>
      </c>
      <c r="F24" s="21">
        <v>1510.5</v>
      </c>
      <c r="G24" s="21">
        <v>1475.3</v>
      </c>
      <c r="H24" s="21">
        <v>1030.7</v>
      </c>
      <c r="I24" s="21">
        <f>SUM(F24:H24)</f>
        <v>4016.5</v>
      </c>
      <c r="J24" s="21">
        <v>1030.7</v>
      </c>
      <c r="K24" s="21">
        <v>1030.7</v>
      </c>
      <c r="L24" s="21">
        <v>1030.7</v>
      </c>
      <c r="M24" s="22">
        <f>SUM(J24:L24)</f>
        <v>3092.1000000000004</v>
      </c>
      <c r="N24" s="21">
        <v>1030.7</v>
      </c>
      <c r="O24" s="21">
        <v>1030.7</v>
      </c>
      <c r="P24" s="21">
        <v>1030.7</v>
      </c>
      <c r="Q24" s="22">
        <f>SUM(N24:P24)</f>
        <v>3092.1000000000004</v>
      </c>
    </row>
    <row r="25" spans="1:17" s="19" customFormat="1" ht="12.75">
      <c r="A25" s="17" t="s">
        <v>116</v>
      </c>
      <c r="B25" s="18">
        <f aca="true" t="shared" si="7" ref="B25:M25">+B23-B24</f>
        <v>14527.422118999999</v>
      </c>
      <c r="C25" s="18">
        <f t="shared" si="7"/>
        <v>15984.499999999998</v>
      </c>
      <c r="D25" s="18">
        <f t="shared" si="7"/>
        <v>22299.8</v>
      </c>
      <c r="E25" s="18">
        <f t="shared" si="7"/>
        <v>52811.722119</v>
      </c>
      <c r="F25" s="18">
        <f t="shared" si="7"/>
        <v>15677.599999999999</v>
      </c>
      <c r="G25" s="18">
        <f t="shared" si="7"/>
        <v>15745.000000000004</v>
      </c>
      <c r="H25" s="18">
        <f t="shared" si="7"/>
        <v>25546.1</v>
      </c>
      <c r="I25" s="18">
        <f t="shared" si="7"/>
        <v>56968.7</v>
      </c>
      <c r="J25" s="18">
        <f t="shared" si="7"/>
        <v>16737.009493999998</v>
      </c>
      <c r="K25" s="18">
        <f t="shared" si="7"/>
        <v>15635.630943</v>
      </c>
      <c r="L25" s="18">
        <f t="shared" si="7"/>
        <v>24779.399999999998</v>
      </c>
      <c r="M25" s="18">
        <f t="shared" si="7"/>
        <v>57152.040437</v>
      </c>
      <c r="N25" s="18">
        <f>+N23-N24</f>
        <v>16793.708198999997</v>
      </c>
      <c r="O25" s="18">
        <f>+O23-O24</f>
        <v>16846</v>
      </c>
      <c r="P25" s="18">
        <f>+P23-P24</f>
        <v>27435</v>
      </c>
      <c r="Q25" s="18">
        <f>+Q23-Q24</f>
        <v>61074.70819899999</v>
      </c>
    </row>
    <row r="26" spans="1:12" s="19" customFormat="1" ht="15">
      <c r="A26" s="23" t="s">
        <v>113</v>
      </c>
      <c r="B26" s="24"/>
      <c r="C26" s="24"/>
      <c r="D26" s="24"/>
      <c r="E26" s="24"/>
      <c r="F26" s="24"/>
      <c r="G26" s="25"/>
      <c r="H26" s="25"/>
      <c r="I26" s="25"/>
      <c r="J26" s="25"/>
      <c r="K26" s="25"/>
      <c r="L26" s="25"/>
    </row>
    <row r="27" spans="1:12" s="19" customFormat="1" ht="12.75">
      <c r="A27" s="26"/>
      <c r="B27" s="24"/>
      <c r="C27" s="24"/>
      <c r="D27" s="24"/>
      <c r="E27" s="24"/>
      <c r="F27" s="24"/>
      <c r="G27" s="25"/>
      <c r="H27" s="25"/>
      <c r="I27" s="25"/>
      <c r="J27" s="25"/>
      <c r="K27" s="25"/>
      <c r="L27" s="25"/>
    </row>
    <row r="28" spans="1:12" s="19" customFormat="1" ht="12.75">
      <c r="A28" s="26"/>
      <c r="B28" s="24"/>
      <c r="C28" s="24"/>
      <c r="D28" s="24"/>
      <c r="E28" s="24"/>
      <c r="F28" s="24"/>
      <c r="G28" s="25"/>
      <c r="H28" s="25"/>
      <c r="I28" s="25"/>
      <c r="J28" s="25"/>
      <c r="K28" s="25"/>
      <c r="L28" s="25"/>
    </row>
    <row r="29" spans="1:17" s="28" customFormat="1" ht="12.75">
      <c r="A29" s="19" t="s">
        <v>87</v>
      </c>
      <c r="B29" s="27"/>
      <c r="F29" s="29"/>
      <c r="G29" s="29"/>
      <c r="H29" s="29"/>
      <c r="I29" s="29"/>
      <c r="J29" s="29"/>
      <c r="K29" s="29"/>
      <c r="Q29" s="4" t="s">
        <v>114</v>
      </c>
    </row>
    <row r="30" spans="1:17" s="28" customFormat="1" ht="12.75" customHeight="1">
      <c r="A30" s="5" t="s">
        <v>106</v>
      </c>
      <c r="B30" s="6" t="s">
        <v>8</v>
      </c>
      <c r="C30" s="6"/>
      <c r="D30" s="6"/>
      <c r="E30" s="6"/>
      <c r="F30" s="6" t="s">
        <v>82</v>
      </c>
      <c r="G30" s="6"/>
      <c r="H30" s="6"/>
      <c r="I30" s="6"/>
      <c r="J30" s="6" t="s">
        <v>86</v>
      </c>
      <c r="K30" s="6"/>
      <c r="L30" s="6"/>
      <c r="M30" s="6"/>
      <c r="N30" s="6" t="s">
        <v>108</v>
      </c>
      <c r="O30" s="6"/>
      <c r="P30" s="6"/>
      <c r="Q30" s="6"/>
    </row>
    <row r="31" spans="1:17" s="28" customFormat="1" ht="12.75" customHeight="1">
      <c r="A31" s="5"/>
      <c r="B31" s="7" t="s">
        <v>5</v>
      </c>
      <c r="C31" s="7" t="s">
        <v>6</v>
      </c>
      <c r="D31" s="7" t="s">
        <v>7</v>
      </c>
      <c r="E31" s="7" t="s">
        <v>107</v>
      </c>
      <c r="F31" s="7" t="s">
        <v>79</v>
      </c>
      <c r="G31" s="7" t="s">
        <v>80</v>
      </c>
      <c r="H31" s="7" t="s">
        <v>81</v>
      </c>
      <c r="I31" s="7" t="s">
        <v>107</v>
      </c>
      <c r="J31" s="7" t="s">
        <v>83</v>
      </c>
      <c r="K31" s="7" t="s">
        <v>84</v>
      </c>
      <c r="L31" s="7" t="s">
        <v>85</v>
      </c>
      <c r="M31" s="7" t="s">
        <v>107</v>
      </c>
      <c r="N31" s="7" t="s">
        <v>109</v>
      </c>
      <c r="O31" s="7" t="s">
        <v>110</v>
      </c>
      <c r="P31" s="7" t="s">
        <v>111</v>
      </c>
      <c r="Q31" s="7" t="s">
        <v>107</v>
      </c>
    </row>
    <row r="32" spans="1:18" ht="12.75">
      <c r="A32" s="8" t="s">
        <v>39</v>
      </c>
      <c r="B32" s="30"/>
      <c r="C32" s="31"/>
      <c r="D32" s="31"/>
      <c r="E32" s="31"/>
      <c r="F32" s="32"/>
      <c r="G32" s="3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28"/>
    </row>
    <row r="33" spans="1:18" ht="12.75">
      <c r="A33" s="8" t="s">
        <v>40</v>
      </c>
      <c r="B33" s="34">
        <v>0</v>
      </c>
      <c r="C33" s="35">
        <v>0</v>
      </c>
      <c r="D33" s="35">
        <v>0</v>
      </c>
      <c r="E33" s="35">
        <f>SUM(B33:D33)</f>
        <v>0</v>
      </c>
      <c r="F33" s="35">
        <v>0</v>
      </c>
      <c r="G33" s="35">
        <v>0</v>
      </c>
      <c r="H33" s="35">
        <v>0</v>
      </c>
      <c r="I33" s="35">
        <f>SUM(F33:H33)</f>
        <v>0</v>
      </c>
      <c r="J33" s="35">
        <v>0</v>
      </c>
      <c r="K33" s="35">
        <v>0</v>
      </c>
      <c r="L33" s="35">
        <v>0</v>
      </c>
      <c r="M33" s="22">
        <f>SUM(J33:L33)</f>
        <v>0</v>
      </c>
      <c r="N33" s="35">
        <v>0</v>
      </c>
      <c r="O33" s="35">
        <v>0</v>
      </c>
      <c r="P33" s="35">
        <v>0</v>
      </c>
      <c r="Q33" s="22">
        <f>SUM(N33:P33)</f>
        <v>0</v>
      </c>
      <c r="R33" s="28"/>
    </row>
    <row r="34" spans="1:18" ht="12.75">
      <c r="A34" s="8" t="s">
        <v>41</v>
      </c>
      <c r="B34" s="34">
        <v>0</v>
      </c>
      <c r="C34" s="35">
        <f>50000/1000000</f>
        <v>0.05</v>
      </c>
      <c r="D34" s="35">
        <v>0</v>
      </c>
      <c r="E34" s="35">
        <f aca="true" t="shared" si="8" ref="E34:E40">SUM(B34:D34)</f>
        <v>0.05</v>
      </c>
      <c r="F34" s="35">
        <v>0</v>
      </c>
      <c r="G34" s="35">
        <v>0</v>
      </c>
      <c r="H34" s="35">
        <v>0</v>
      </c>
      <c r="I34" s="35">
        <f aca="true" t="shared" si="9" ref="I34:I40">SUM(F34:H34)</f>
        <v>0</v>
      </c>
      <c r="J34" s="35">
        <v>0</v>
      </c>
      <c r="K34" s="35">
        <v>0</v>
      </c>
      <c r="L34" s="35">
        <v>76.2</v>
      </c>
      <c r="M34" s="22">
        <f aca="true" t="shared" si="10" ref="M34:M40">SUM(J34:L34)</f>
        <v>76.2</v>
      </c>
      <c r="N34" s="35">
        <v>7.8</v>
      </c>
      <c r="O34" s="35">
        <v>0</v>
      </c>
      <c r="P34" s="35">
        <v>84.7</v>
      </c>
      <c r="Q34" s="22">
        <f aca="true" t="shared" si="11" ref="Q34:Q40">SUM(N34:P34)</f>
        <v>92.5</v>
      </c>
      <c r="R34" s="28"/>
    </row>
    <row r="35" spans="1:18" ht="12.75">
      <c r="A35" s="36" t="s">
        <v>42</v>
      </c>
      <c r="B35" s="34">
        <v>278.6</v>
      </c>
      <c r="C35" s="35">
        <v>309.1</v>
      </c>
      <c r="D35" s="35">
        <v>372.3</v>
      </c>
      <c r="E35" s="35">
        <f t="shared" si="8"/>
        <v>960</v>
      </c>
      <c r="F35" s="35">
        <v>370.5</v>
      </c>
      <c r="G35" s="35">
        <v>380.2</v>
      </c>
      <c r="H35" s="35">
        <v>243.3</v>
      </c>
      <c r="I35" s="35">
        <f t="shared" si="9"/>
        <v>994</v>
      </c>
      <c r="J35" s="35">
        <v>362.6</v>
      </c>
      <c r="K35" s="35">
        <v>375.7</v>
      </c>
      <c r="L35" s="35">
        <v>282.5</v>
      </c>
      <c r="M35" s="22">
        <f t="shared" si="10"/>
        <v>1020.8</v>
      </c>
      <c r="N35" s="35">
        <v>338.6</v>
      </c>
      <c r="O35" s="35">
        <v>170.6</v>
      </c>
      <c r="P35" s="35">
        <v>290.2</v>
      </c>
      <c r="Q35" s="22">
        <f t="shared" si="11"/>
        <v>799.4000000000001</v>
      </c>
      <c r="R35" s="28"/>
    </row>
    <row r="36" spans="1:18" ht="12.75">
      <c r="A36" s="8" t="s">
        <v>43</v>
      </c>
      <c r="B36" s="34">
        <v>28.6</v>
      </c>
      <c r="C36" s="35">
        <v>23.1</v>
      </c>
      <c r="D36" s="35">
        <v>27.8</v>
      </c>
      <c r="E36" s="35">
        <f t="shared" si="8"/>
        <v>79.5</v>
      </c>
      <c r="F36" s="35">
        <v>0.4</v>
      </c>
      <c r="G36" s="35">
        <v>56</v>
      </c>
      <c r="H36" s="35">
        <v>35.1</v>
      </c>
      <c r="I36" s="35">
        <f t="shared" si="9"/>
        <v>91.5</v>
      </c>
      <c r="J36" s="35">
        <v>36.764076</v>
      </c>
      <c r="K36" s="35">
        <v>42.6</v>
      </c>
      <c r="L36" s="35">
        <v>26.679041</v>
      </c>
      <c r="M36" s="22">
        <f t="shared" si="10"/>
        <v>106.04311700000001</v>
      </c>
      <c r="N36" s="35">
        <v>33.3</v>
      </c>
      <c r="O36" s="35">
        <v>43.2</v>
      </c>
      <c r="P36" s="35">
        <v>55.8</v>
      </c>
      <c r="Q36" s="22">
        <f t="shared" si="11"/>
        <v>132.3</v>
      </c>
      <c r="R36" s="28"/>
    </row>
    <row r="37" spans="1:18" ht="12.75">
      <c r="A37" s="8" t="s">
        <v>44</v>
      </c>
      <c r="B37" s="34">
        <v>0</v>
      </c>
      <c r="C37" s="35">
        <v>0</v>
      </c>
      <c r="D37" s="35">
        <v>0</v>
      </c>
      <c r="E37" s="35">
        <f t="shared" si="8"/>
        <v>0</v>
      </c>
      <c r="F37" s="35">
        <v>0</v>
      </c>
      <c r="G37" s="35"/>
      <c r="H37" s="35">
        <v>0</v>
      </c>
      <c r="I37" s="35">
        <f t="shared" si="9"/>
        <v>0</v>
      </c>
      <c r="J37" s="35">
        <v>0</v>
      </c>
      <c r="K37" s="35">
        <v>0</v>
      </c>
      <c r="L37" s="35">
        <v>0</v>
      </c>
      <c r="M37" s="22">
        <f t="shared" si="10"/>
        <v>0</v>
      </c>
      <c r="N37" s="35">
        <v>0</v>
      </c>
      <c r="O37" s="35"/>
      <c r="P37" s="35">
        <v>0</v>
      </c>
      <c r="Q37" s="22">
        <f t="shared" si="11"/>
        <v>0</v>
      </c>
      <c r="R37" s="28"/>
    </row>
    <row r="38" spans="1:18" ht="12.75">
      <c r="A38" s="8" t="s">
        <v>45</v>
      </c>
      <c r="B38" s="34">
        <v>2.8</v>
      </c>
      <c r="C38" s="35">
        <v>0.2</v>
      </c>
      <c r="D38" s="35">
        <v>23.9</v>
      </c>
      <c r="E38" s="35">
        <f t="shared" si="8"/>
        <v>26.9</v>
      </c>
      <c r="F38" s="35">
        <v>12.9</v>
      </c>
      <c r="G38" s="35">
        <v>3.8</v>
      </c>
      <c r="H38" s="35">
        <v>0.18067</v>
      </c>
      <c r="I38" s="35">
        <f t="shared" si="9"/>
        <v>16.88067</v>
      </c>
      <c r="J38" s="35">
        <v>0.339263</v>
      </c>
      <c r="K38" s="35">
        <v>0.117145</v>
      </c>
      <c r="L38" s="35">
        <v>2.3</v>
      </c>
      <c r="M38" s="22">
        <f t="shared" si="10"/>
        <v>2.756408</v>
      </c>
      <c r="N38" s="35">
        <v>0.572095</v>
      </c>
      <c r="O38" s="35">
        <v>2.1</v>
      </c>
      <c r="P38" s="35">
        <v>1.3</v>
      </c>
      <c r="Q38" s="22">
        <f t="shared" si="11"/>
        <v>3.9720950000000004</v>
      </c>
      <c r="R38" s="28"/>
    </row>
    <row r="39" spans="1:18" ht="12.75">
      <c r="A39" s="8" t="s">
        <v>46</v>
      </c>
      <c r="B39" s="34">
        <v>0</v>
      </c>
      <c r="C39" s="35">
        <v>0</v>
      </c>
      <c r="D39" s="35">
        <v>0</v>
      </c>
      <c r="E39" s="35">
        <f t="shared" si="8"/>
        <v>0</v>
      </c>
      <c r="F39" s="35">
        <v>0</v>
      </c>
      <c r="G39" s="35"/>
      <c r="H39" s="35">
        <v>0</v>
      </c>
      <c r="I39" s="35">
        <f t="shared" si="9"/>
        <v>0</v>
      </c>
      <c r="J39" s="35">
        <v>0</v>
      </c>
      <c r="K39" s="35">
        <v>0</v>
      </c>
      <c r="L39" s="35">
        <v>0</v>
      </c>
      <c r="M39" s="22">
        <f t="shared" si="10"/>
        <v>0</v>
      </c>
      <c r="N39" s="35">
        <v>0</v>
      </c>
      <c r="O39" s="35"/>
      <c r="P39" s="35">
        <v>0</v>
      </c>
      <c r="Q39" s="22">
        <f t="shared" si="11"/>
        <v>0</v>
      </c>
      <c r="R39" s="28"/>
    </row>
    <row r="40" spans="1:18" ht="12.75">
      <c r="A40" s="8" t="s">
        <v>47</v>
      </c>
      <c r="B40" s="37">
        <v>0</v>
      </c>
      <c r="C40" s="38">
        <v>4.9</v>
      </c>
      <c r="D40" s="38">
        <f>0.6+95.6+0.5+5.9+0.3</f>
        <v>102.89999999999999</v>
      </c>
      <c r="E40" s="35">
        <f t="shared" si="8"/>
        <v>107.8</v>
      </c>
      <c r="F40" s="38">
        <v>70.3</v>
      </c>
      <c r="G40" s="38">
        <v>16.7</v>
      </c>
      <c r="H40" s="38">
        <v>8.5</v>
      </c>
      <c r="I40" s="35">
        <f t="shared" si="9"/>
        <v>95.5</v>
      </c>
      <c r="J40" s="38">
        <v>10.444096</v>
      </c>
      <c r="K40" s="38">
        <v>21.247791999999997</v>
      </c>
      <c r="L40" s="38">
        <v>10.7</v>
      </c>
      <c r="M40" s="22">
        <f t="shared" si="10"/>
        <v>42.391887999999994</v>
      </c>
      <c r="N40" s="35">
        <v>18.1</v>
      </c>
      <c r="O40" s="35">
        <v>0.1</v>
      </c>
      <c r="P40" s="35">
        <v>2.9</v>
      </c>
      <c r="Q40" s="22">
        <f t="shared" si="11"/>
        <v>21.1</v>
      </c>
      <c r="R40" s="28"/>
    </row>
    <row r="41" spans="1:18" ht="12.75">
      <c r="A41" s="39" t="s">
        <v>48</v>
      </c>
      <c r="B41" s="40">
        <f aca="true" t="shared" si="12" ref="B41:M41">SUM(B33:B40)</f>
        <v>310.00000000000006</v>
      </c>
      <c r="C41" s="41">
        <f t="shared" si="12"/>
        <v>337.35</v>
      </c>
      <c r="D41" s="41">
        <f t="shared" si="12"/>
        <v>526.9</v>
      </c>
      <c r="E41" s="41">
        <f t="shared" si="12"/>
        <v>1174.25</v>
      </c>
      <c r="F41" s="41">
        <f t="shared" si="12"/>
        <v>454.09999999999997</v>
      </c>
      <c r="G41" s="41">
        <f t="shared" si="12"/>
        <v>456.7</v>
      </c>
      <c r="H41" s="41">
        <f t="shared" si="12"/>
        <v>287.08067000000005</v>
      </c>
      <c r="I41" s="41">
        <f t="shared" si="12"/>
        <v>1197.88067</v>
      </c>
      <c r="J41" s="41">
        <f t="shared" si="12"/>
        <v>410.14743500000003</v>
      </c>
      <c r="K41" s="41">
        <f t="shared" si="12"/>
        <v>439.664937</v>
      </c>
      <c r="L41" s="41">
        <f t="shared" si="12"/>
        <v>398.379041</v>
      </c>
      <c r="M41" s="41">
        <f t="shared" si="12"/>
        <v>1248.191413</v>
      </c>
      <c r="N41" s="42">
        <f>SUM(N33:N40)</f>
        <v>398.37209500000006</v>
      </c>
      <c r="O41" s="42">
        <f>SUM(O33:O40)</f>
        <v>216</v>
      </c>
      <c r="P41" s="42">
        <f>SUM(P33:P40)</f>
        <v>434.9</v>
      </c>
      <c r="Q41" s="42">
        <f>SUM(Q33:Q40)</f>
        <v>1049.272095</v>
      </c>
      <c r="R41" s="28"/>
    </row>
    <row r="42" spans="1:18" ht="12.75">
      <c r="A42" s="43" t="s">
        <v>97</v>
      </c>
      <c r="B42" s="44"/>
      <c r="C42" s="45"/>
      <c r="D42" s="45"/>
      <c r="E42" s="45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28"/>
    </row>
    <row r="43" spans="1:18" ht="12.75">
      <c r="A43" s="43" t="s">
        <v>49</v>
      </c>
      <c r="B43" s="47">
        <v>213.7</v>
      </c>
      <c r="C43" s="48">
        <v>255.8</v>
      </c>
      <c r="D43" s="48">
        <v>560.1</v>
      </c>
      <c r="E43" s="48">
        <f>SUM(B43:D43)</f>
        <v>1029.6</v>
      </c>
      <c r="F43" s="48">
        <v>181.6</v>
      </c>
      <c r="G43" s="49">
        <v>229.1</v>
      </c>
      <c r="H43" s="48">
        <v>202.4</v>
      </c>
      <c r="I43" s="48">
        <f>SUM(F43:H43)</f>
        <v>613.1</v>
      </c>
      <c r="J43" s="48">
        <v>214.2</v>
      </c>
      <c r="K43" s="48">
        <v>516.3</v>
      </c>
      <c r="L43" s="48">
        <v>690.4</v>
      </c>
      <c r="M43" s="50">
        <f>SUM(J43:L43)</f>
        <v>1420.9</v>
      </c>
      <c r="N43" s="51">
        <v>190.7</v>
      </c>
      <c r="O43" s="51">
        <v>157.8</v>
      </c>
      <c r="P43" s="51">
        <v>182.2</v>
      </c>
      <c r="Q43" s="52">
        <f>SUM(N43:P43)</f>
        <v>530.7</v>
      </c>
      <c r="R43" s="28"/>
    </row>
    <row r="44" spans="1:18" ht="12.75">
      <c r="A44" s="43" t="s">
        <v>40</v>
      </c>
      <c r="B44" s="37">
        <v>0</v>
      </c>
      <c r="C44" s="38">
        <v>1.9</v>
      </c>
      <c r="D44" s="38">
        <v>1.7</v>
      </c>
      <c r="E44" s="48">
        <f aca="true" t="shared" si="13" ref="E44:E51">SUM(B44:D44)</f>
        <v>3.5999999999999996</v>
      </c>
      <c r="F44" s="38">
        <v>1.1</v>
      </c>
      <c r="G44" s="35">
        <v>2.6</v>
      </c>
      <c r="H44" s="38">
        <v>1.7</v>
      </c>
      <c r="I44" s="48">
        <f aca="true" t="shared" si="14" ref="I44:I51">SUM(F44:H44)</f>
        <v>5.4</v>
      </c>
      <c r="J44" s="38"/>
      <c r="K44" s="38">
        <v>1.003887</v>
      </c>
      <c r="L44" s="38">
        <v>0.441955</v>
      </c>
      <c r="M44" s="50">
        <f aca="true" t="shared" si="15" ref="M44:M51">SUM(J44:L44)</f>
        <v>1.4458419999999998</v>
      </c>
      <c r="N44" s="51">
        <v>0.650119</v>
      </c>
      <c r="O44" s="51">
        <v>0.401762</v>
      </c>
      <c r="P44" s="51">
        <v>0.4</v>
      </c>
      <c r="Q44" s="52">
        <f aca="true" t="shared" si="16" ref="Q44:Q51">SUM(N44:P44)</f>
        <v>1.4518810000000002</v>
      </c>
      <c r="R44" s="28"/>
    </row>
    <row r="45" spans="1:18" ht="12.75">
      <c r="A45" s="8" t="s">
        <v>41</v>
      </c>
      <c r="B45" s="34">
        <v>0.031245</v>
      </c>
      <c r="C45" s="35">
        <f>62370/1000000</f>
        <v>0.06237</v>
      </c>
      <c r="D45" s="35">
        <v>0.1</v>
      </c>
      <c r="E45" s="48">
        <f t="shared" si="13"/>
        <v>0.193615</v>
      </c>
      <c r="F45" s="35">
        <v>0</v>
      </c>
      <c r="G45" s="35">
        <v>0.1</v>
      </c>
      <c r="H45" s="35">
        <v>0.1</v>
      </c>
      <c r="I45" s="48">
        <f t="shared" si="14"/>
        <v>0.2</v>
      </c>
      <c r="J45" s="35">
        <v>0.1</v>
      </c>
      <c r="K45" s="35">
        <v>5.968139</v>
      </c>
      <c r="L45" s="35">
        <v>0.1</v>
      </c>
      <c r="M45" s="50">
        <f t="shared" si="15"/>
        <v>6.168138999999999</v>
      </c>
      <c r="N45" s="51">
        <v>0</v>
      </c>
      <c r="O45" s="51">
        <v>0.1</v>
      </c>
      <c r="P45" s="51">
        <v>0</v>
      </c>
      <c r="Q45" s="52">
        <f t="shared" si="16"/>
        <v>0.1</v>
      </c>
      <c r="R45" s="28"/>
    </row>
    <row r="46" spans="1:18" ht="12.75">
      <c r="A46" s="8" t="s">
        <v>50</v>
      </c>
      <c r="B46" s="34">
        <v>48.945966</v>
      </c>
      <c r="C46" s="35">
        <v>54.9</v>
      </c>
      <c r="D46" s="35">
        <v>59.2</v>
      </c>
      <c r="E46" s="48">
        <f t="shared" si="13"/>
        <v>163.04596600000002</v>
      </c>
      <c r="F46" s="35">
        <v>61.1</v>
      </c>
      <c r="G46" s="35">
        <v>58.6</v>
      </c>
      <c r="H46" s="35">
        <v>49.6</v>
      </c>
      <c r="I46" s="48">
        <f t="shared" si="14"/>
        <v>169.3</v>
      </c>
      <c r="J46" s="35">
        <v>51.3</v>
      </c>
      <c r="K46" s="35">
        <v>19.7</v>
      </c>
      <c r="L46" s="35">
        <v>61.449779</v>
      </c>
      <c r="M46" s="50">
        <f t="shared" si="15"/>
        <v>132.449779</v>
      </c>
      <c r="N46" s="51">
        <v>64.3</v>
      </c>
      <c r="O46" s="51">
        <v>35.2</v>
      </c>
      <c r="P46" s="51">
        <v>52.3</v>
      </c>
      <c r="Q46" s="52">
        <f t="shared" si="16"/>
        <v>151.8</v>
      </c>
      <c r="R46" s="28"/>
    </row>
    <row r="47" spans="1:18" ht="12.75">
      <c r="A47" s="8" t="s">
        <v>42</v>
      </c>
      <c r="B47" s="34">
        <v>130.7</v>
      </c>
      <c r="C47" s="35">
        <v>292.1</v>
      </c>
      <c r="D47" s="35">
        <v>349.6</v>
      </c>
      <c r="E47" s="48">
        <f t="shared" si="13"/>
        <v>772.4000000000001</v>
      </c>
      <c r="F47" s="35">
        <v>383.9</v>
      </c>
      <c r="G47" s="35">
        <v>355.1</v>
      </c>
      <c r="H47" s="35">
        <v>233.1</v>
      </c>
      <c r="I47" s="48">
        <f t="shared" si="14"/>
        <v>972.1</v>
      </c>
      <c r="J47" s="35">
        <v>272.5</v>
      </c>
      <c r="K47" s="35">
        <v>374.7</v>
      </c>
      <c r="L47" s="35">
        <v>283.691454</v>
      </c>
      <c r="M47" s="50">
        <f t="shared" si="15"/>
        <v>930.8914540000001</v>
      </c>
      <c r="N47" s="51">
        <v>203.5</v>
      </c>
      <c r="O47" s="51">
        <v>141.3</v>
      </c>
      <c r="P47" s="51">
        <v>208.9</v>
      </c>
      <c r="Q47" s="52">
        <f t="shared" si="16"/>
        <v>553.7</v>
      </c>
      <c r="R47" s="28"/>
    </row>
    <row r="48" spans="1:18" ht="12.75">
      <c r="A48" s="43" t="s">
        <v>51</v>
      </c>
      <c r="B48" s="34">
        <v>2.3</v>
      </c>
      <c r="C48" s="35">
        <v>5.4</v>
      </c>
      <c r="D48" s="35">
        <v>19.3</v>
      </c>
      <c r="E48" s="48">
        <f t="shared" si="13"/>
        <v>27</v>
      </c>
      <c r="F48" s="35">
        <v>4.2</v>
      </c>
      <c r="G48" s="35">
        <v>13.9</v>
      </c>
      <c r="H48" s="35">
        <v>58.9</v>
      </c>
      <c r="I48" s="48">
        <f t="shared" si="14"/>
        <v>77</v>
      </c>
      <c r="J48" s="35">
        <v>6.6</v>
      </c>
      <c r="K48" s="35">
        <v>18.6</v>
      </c>
      <c r="L48" s="35">
        <v>0.1</v>
      </c>
      <c r="M48" s="50">
        <f t="shared" si="15"/>
        <v>25.300000000000004</v>
      </c>
      <c r="N48" s="51">
        <v>25.8</v>
      </c>
      <c r="O48" s="51">
        <v>0</v>
      </c>
      <c r="P48" s="51">
        <v>19.9</v>
      </c>
      <c r="Q48" s="52">
        <f t="shared" si="16"/>
        <v>45.7</v>
      </c>
      <c r="R48" s="28"/>
    </row>
    <row r="49" spans="1:18" ht="12.75" customHeight="1">
      <c r="A49" s="8" t="s">
        <v>43</v>
      </c>
      <c r="B49" s="34">
        <v>1.4</v>
      </c>
      <c r="C49" s="35">
        <v>2.3</v>
      </c>
      <c r="D49" s="35">
        <v>0</v>
      </c>
      <c r="E49" s="48">
        <f t="shared" si="13"/>
        <v>3.6999999999999997</v>
      </c>
      <c r="F49" s="35">
        <v>1.2</v>
      </c>
      <c r="G49" s="35">
        <v>0.1</v>
      </c>
      <c r="H49" s="35">
        <v>27.9</v>
      </c>
      <c r="I49" s="48">
        <f t="shared" si="14"/>
        <v>29.2</v>
      </c>
      <c r="J49" s="35">
        <v>0.360756</v>
      </c>
      <c r="K49" s="35">
        <v>0.607119</v>
      </c>
      <c r="L49" s="35">
        <v>54.9</v>
      </c>
      <c r="M49" s="50">
        <f t="shared" si="15"/>
        <v>55.867875</v>
      </c>
      <c r="N49" s="51">
        <v>0</v>
      </c>
      <c r="O49" s="51">
        <v>34.9</v>
      </c>
      <c r="P49" s="51">
        <v>0.546857</v>
      </c>
      <c r="Q49" s="52">
        <f t="shared" si="16"/>
        <v>35.446857</v>
      </c>
      <c r="R49" s="28"/>
    </row>
    <row r="50" spans="1:18" ht="12.75" customHeight="1">
      <c r="A50" s="8" t="s">
        <v>52</v>
      </c>
      <c r="B50" s="34">
        <v>1005.3</v>
      </c>
      <c r="C50" s="35">
        <v>1189.3</v>
      </c>
      <c r="D50" s="35">
        <v>1009.4</v>
      </c>
      <c r="E50" s="48">
        <f t="shared" si="13"/>
        <v>3204</v>
      </c>
      <c r="F50" s="35">
        <v>1089</v>
      </c>
      <c r="G50" s="35">
        <v>1036.8</v>
      </c>
      <c r="H50" s="35">
        <v>938.2</v>
      </c>
      <c r="I50" s="48">
        <f t="shared" si="14"/>
        <v>3064</v>
      </c>
      <c r="J50" s="35">
        <v>1034.7</v>
      </c>
      <c r="K50" s="35">
        <v>760.5</v>
      </c>
      <c r="L50" s="35">
        <v>756.4</v>
      </c>
      <c r="M50" s="50">
        <f t="shared" si="15"/>
        <v>2551.6</v>
      </c>
      <c r="N50" s="51">
        <v>1099.2</v>
      </c>
      <c r="O50" s="51">
        <v>505.5</v>
      </c>
      <c r="P50" s="51">
        <v>437.9</v>
      </c>
      <c r="Q50" s="52">
        <f t="shared" si="16"/>
        <v>2042.6</v>
      </c>
      <c r="R50" s="28"/>
    </row>
    <row r="51" spans="1:18" ht="12.75" customHeight="1">
      <c r="A51" s="8" t="s">
        <v>53</v>
      </c>
      <c r="B51" s="53">
        <v>6777.9</v>
      </c>
      <c r="C51" s="54">
        <f>134.2+10856.9-727.2-1.9-2.3-5.4-292.1-1189.3-255.8-0.1-54.9+0.1+0.3-0.5+0.2+0.3</f>
        <v>8462.500000000002</v>
      </c>
      <c r="D51" s="54">
        <f>127.3+10515.8-445.616-19.3-349.6-1009.4-560.1-0.1-59.2-1.4+2.1+74.7-5</f>
        <v>8270.184</v>
      </c>
      <c r="E51" s="48">
        <f t="shared" si="13"/>
        <v>23510.584000000003</v>
      </c>
      <c r="F51" s="54">
        <v>8226.7</v>
      </c>
      <c r="G51" s="54">
        <v>9601</v>
      </c>
      <c r="H51" s="54">
        <v>8612.7</v>
      </c>
      <c r="I51" s="48">
        <f t="shared" si="14"/>
        <v>26440.4</v>
      </c>
      <c r="J51" s="53">
        <v>7949.6</v>
      </c>
      <c r="K51" s="53">
        <v>8778.5</v>
      </c>
      <c r="L51" s="54">
        <v>8572.3</v>
      </c>
      <c r="M51" s="50">
        <f t="shared" si="15"/>
        <v>25300.399999999998</v>
      </c>
      <c r="N51" s="51">
        <v>8588.5</v>
      </c>
      <c r="O51" s="51">
        <v>8655.7</v>
      </c>
      <c r="P51" s="51">
        <v>9068</v>
      </c>
      <c r="Q51" s="52">
        <f t="shared" si="16"/>
        <v>26312.2</v>
      </c>
      <c r="R51" s="28"/>
    </row>
    <row r="52" spans="1:18" ht="12.75" customHeight="1">
      <c r="A52" s="39" t="s">
        <v>48</v>
      </c>
      <c r="B52" s="55">
        <f aca="true" t="shared" si="17" ref="B52:M52">SUM(B43:B51)</f>
        <v>8180.277211</v>
      </c>
      <c r="C52" s="56">
        <f t="shared" si="17"/>
        <v>10264.262370000002</v>
      </c>
      <c r="D52" s="56">
        <f t="shared" si="17"/>
        <v>10269.583999999999</v>
      </c>
      <c r="E52" s="56">
        <f t="shared" si="17"/>
        <v>28714.123581000003</v>
      </c>
      <c r="F52" s="56">
        <f t="shared" si="17"/>
        <v>9948.800000000001</v>
      </c>
      <c r="G52" s="56">
        <f t="shared" si="17"/>
        <v>11297.3</v>
      </c>
      <c r="H52" s="56">
        <f t="shared" si="17"/>
        <v>10124.6</v>
      </c>
      <c r="I52" s="56">
        <f t="shared" si="17"/>
        <v>31370.7</v>
      </c>
      <c r="J52" s="56">
        <f t="shared" si="17"/>
        <v>9529.360756</v>
      </c>
      <c r="K52" s="56">
        <f t="shared" si="17"/>
        <v>10475.879144999999</v>
      </c>
      <c r="L52" s="56">
        <f t="shared" si="17"/>
        <v>10419.783188</v>
      </c>
      <c r="M52" s="56">
        <f t="shared" si="17"/>
        <v>30425.023089</v>
      </c>
      <c r="N52" s="57">
        <f>SUM(N43:N51)</f>
        <v>10172.650119</v>
      </c>
      <c r="O52" s="57">
        <f>SUM(O43:O51)</f>
        <v>9530.901762000001</v>
      </c>
      <c r="P52" s="57">
        <f>SUM(P43:P51)</f>
        <v>9970.146857</v>
      </c>
      <c r="Q52" s="57">
        <f>SUM(Q43:Q51)</f>
        <v>29673.698738</v>
      </c>
      <c r="R52" s="28"/>
    </row>
    <row r="53" spans="1:18" ht="12.75" customHeight="1">
      <c r="A53" s="58" t="s">
        <v>95</v>
      </c>
      <c r="B53" s="37">
        <v>0.08</v>
      </c>
      <c r="C53" s="38">
        <f>(587800+900)/1000000</f>
        <v>0.5887</v>
      </c>
      <c r="D53" s="38">
        <v>0.5</v>
      </c>
      <c r="E53" s="38">
        <f>SUM(B53:D53)</f>
        <v>1.1686999999999999</v>
      </c>
      <c r="F53" s="38">
        <v>0</v>
      </c>
      <c r="G53" s="35">
        <v>0.9</v>
      </c>
      <c r="H53" s="38">
        <v>0</v>
      </c>
      <c r="I53" s="38">
        <f>SUM(F53:H53)</f>
        <v>0.9</v>
      </c>
      <c r="J53" s="38">
        <v>0.1</v>
      </c>
      <c r="K53" s="38">
        <v>1.2</v>
      </c>
      <c r="L53" s="38">
        <v>0</v>
      </c>
      <c r="M53" s="22">
        <f>SUM(J53:L53)</f>
        <v>1.3</v>
      </c>
      <c r="N53" s="38">
        <v>1.1</v>
      </c>
      <c r="O53" s="38">
        <v>1.1</v>
      </c>
      <c r="P53" s="38">
        <v>0.8</v>
      </c>
      <c r="Q53" s="22">
        <f>SUM(N53:P53)</f>
        <v>3</v>
      </c>
      <c r="R53" s="28"/>
    </row>
    <row r="54" spans="1:18" ht="12.75" customHeight="1">
      <c r="A54" s="8" t="s">
        <v>54</v>
      </c>
      <c r="B54" s="34">
        <v>709.130572</v>
      </c>
      <c r="C54" s="35">
        <f>942.8+53.9</f>
        <v>996.6999999999999</v>
      </c>
      <c r="D54" s="35">
        <f>888.1+63.4</f>
        <v>951.5</v>
      </c>
      <c r="E54" s="38">
        <f>SUM(B54:D54)</f>
        <v>2657.330572</v>
      </c>
      <c r="F54" s="35">
        <v>838</v>
      </c>
      <c r="G54" s="35">
        <v>831</v>
      </c>
      <c r="H54" s="35">
        <v>742</v>
      </c>
      <c r="I54" s="38">
        <f>SUM(F54:H54)</f>
        <v>2411</v>
      </c>
      <c r="J54" s="35">
        <v>803.058499</v>
      </c>
      <c r="K54" s="35">
        <v>883.3</v>
      </c>
      <c r="L54" s="35">
        <v>733.9</v>
      </c>
      <c r="M54" s="22">
        <f>SUM(J54:L54)</f>
        <v>2420.258499</v>
      </c>
      <c r="N54" s="38">
        <v>740.2</v>
      </c>
      <c r="O54" s="38">
        <v>520.7</v>
      </c>
      <c r="P54" s="38">
        <v>718.3</v>
      </c>
      <c r="Q54" s="22">
        <f>SUM(N54:P54)</f>
        <v>1979.2</v>
      </c>
      <c r="R54" s="28"/>
    </row>
    <row r="55" spans="1:18" ht="12.75" customHeight="1">
      <c r="A55" s="59" t="s">
        <v>55</v>
      </c>
      <c r="B55" s="60">
        <v>875.7</v>
      </c>
      <c r="C55" s="52">
        <f>4.2+148.3+17.6+13.1+0.5+205.1+167.1+98.4+78.5+4.5</f>
        <v>737.3</v>
      </c>
      <c r="D55" s="52">
        <f>3.7+142.5+17.5+14+0.3+205.7+147.9+91.4+91.9+4</f>
        <v>718.9</v>
      </c>
      <c r="E55" s="38">
        <f>SUM(B55:D55)</f>
        <v>2331.9</v>
      </c>
      <c r="F55" s="52">
        <v>829.5</v>
      </c>
      <c r="G55" s="38">
        <v>665.1</v>
      </c>
      <c r="H55" s="52">
        <v>718.8</v>
      </c>
      <c r="I55" s="38">
        <f>SUM(F55:H55)</f>
        <v>2213.3999999999996</v>
      </c>
      <c r="J55" s="52">
        <v>630.8</v>
      </c>
      <c r="K55" s="60">
        <v>927.1</v>
      </c>
      <c r="L55" s="52">
        <v>1034.8</v>
      </c>
      <c r="M55" s="22">
        <f>SUM(J55:L55)</f>
        <v>2592.7</v>
      </c>
      <c r="N55" s="38">
        <v>949.3</v>
      </c>
      <c r="O55" s="38">
        <v>1068.5</v>
      </c>
      <c r="P55" s="38">
        <v>1357.2</v>
      </c>
      <c r="Q55" s="22">
        <f>SUM(N55:P55)</f>
        <v>3375</v>
      </c>
      <c r="R55" s="28"/>
    </row>
    <row r="56" spans="1:18" ht="12.75" customHeight="1">
      <c r="A56" s="8" t="s">
        <v>56</v>
      </c>
      <c r="B56" s="34">
        <v>942.3</v>
      </c>
      <c r="C56" s="35">
        <f>210.7+79.2+30.5</f>
        <v>320.4</v>
      </c>
      <c r="D56" s="35">
        <f>326.6+76.2+42</f>
        <v>444.8</v>
      </c>
      <c r="E56" s="38">
        <f>SUM(B56:D56)</f>
        <v>1707.4999999999998</v>
      </c>
      <c r="F56" s="35">
        <v>358.4</v>
      </c>
      <c r="G56" s="35">
        <v>310.2</v>
      </c>
      <c r="H56" s="35">
        <v>483.1</v>
      </c>
      <c r="I56" s="38">
        <f>SUM(F56:H56)</f>
        <v>1151.6999999999998</v>
      </c>
      <c r="J56" s="35">
        <v>302.918189</v>
      </c>
      <c r="K56" s="35">
        <v>194.3</v>
      </c>
      <c r="L56" s="35">
        <v>233.7</v>
      </c>
      <c r="M56" s="22">
        <f>SUM(J56:L56)</f>
        <v>730.918189</v>
      </c>
      <c r="N56" s="38">
        <v>199.8</v>
      </c>
      <c r="O56" s="38">
        <v>220.6</v>
      </c>
      <c r="P56" s="38">
        <v>262.5</v>
      </c>
      <c r="Q56" s="22">
        <f>SUM(N56:P56)</f>
        <v>682.9</v>
      </c>
      <c r="R56" s="28"/>
    </row>
    <row r="57" spans="1:18" ht="12.75" customHeight="1">
      <c r="A57" s="39" t="s">
        <v>48</v>
      </c>
      <c r="B57" s="61">
        <f aca="true" t="shared" si="18" ref="B57:M57">SUM(B53:B56)</f>
        <v>2527.210572</v>
      </c>
      <c r="C57" s="62">
        <f t="shared" si="18"/>
        <v>2054.9887</v>
      </c>
      <c r="D57" s="62">
        <f t="shared" si="18"/>
        <v>2115.7000000000003</v>
      </c>
      <c r="E57" s="62">
        <f t="shared" si="18"/>
        <v>6697.899272000001</v>
      </c>
      <c r="F57" s="62">
        <f t="shared" si="18"/>
        <v>2025.9</v>
      </c>
      <c r="G57" s="62">
        <f t="shared" si="18"/>
        <v>1807.2</v>
      </c>
      <c r="H57" s="62">
        <f t="shared" si="18"/>
        <v>1943.9</v>
      </c>
      <c r="I57" s="62">
        <f t="shared" si="18"/>
        <v>5776.999999999999</v>
      </c>
      <c r="J57" s="62">
        <f t="shared" si="18"/>
        <v>1736.8766879999998</v>
      </c>
      <c r="K57" s="62">
        <f t="shared" si="18"/>
        <v>2005.8999999999999</v>
      </c>
      <c r="L57" s="62">
        <f t="shared" si="18"/>
        <v>2002.3999999999999</v>
      </c>
      <c r="M57" s="62">
        <f t="shared" si="18"/>
        <v>5745.176688</v>
      </c>
      <c r="N57" s="63">
        <f>SUM(N53:N56)</f>
        <v>1890.3999999999999</v>
      </c>
      <c r="O57" s="63">
        <f>SUM(O53:O56)</f>
        <v>1810.9</v>
      </c>
      <c r="P57" s="63">
        <f>SUM(P53:P56)</f>
        <v>2338.8</v>
      </c>
      <c r="Q57" s="63">
        <f>SUM(Q53:Q56)</f>
        <v>6040.099999999999</v>
      </c>
      <c r="R57" s="28"/>
    </row>
    <row r="58" spans="1:18" ht="12.75" customHeight="1">
      <c r="A58" s="8" t="s">
        <v>57</v>
      </c>
      <c r="B58" s="37">
        <v>47.79999999999927</v>
      </c>
      <c r="C58" s="38">
        <v>2</v>
      </c>
      <c r="D58" s="38">
        <v>3.6</v>
      </c>
      <c r="E58" s="38">
        <f>SUM(B58:D58)</f>
        <v>53.399999999999274</v>
      </c>
      <c r="F58" s="38">
        <v>7.299999999999272</v>
      </c>
      <c r="G58" s="35">
        <v>5.4</v>
      </c>
      <c r="H58" s="38">
        <v>4.3</v>
      </c>
      <c r="I58" s="38">
        <f>SUM(F58:H58)</f>
        <v>16.99999999999927</v>
      </c>
      <c r="J58" s="38">
        <v>123.7</v>
      </c>
      <c r="K58" s="38">
        <v>1.5</v>
      </c>
      <c r="L58" s="38">
        <v>0.86327</v>
      </c>
      <c r="M58" s="22">
        <f>SUM(J58:L58)</f>
        <v>126.06327</v>
      </c>
      <c r="N58" s="38">
        <v>0.7</v>
      </c>
      <c r="O58" s="38">
        <v>3.9</v>
      </c>
      <c r="P58" s="38">
        <v>2.9</v>
      </c>
      <c r="Q58" s="22">
        <f>SUM(N58:P58)</f>
        <v>7.5</v>
      </c>
      <c r="R58" s="28"/>
    </row>
    <row r="59" spans="1:18" ht="12.75" customHeight="1">
      <c r="A59" s="17" t="s">
        <v>115</v>
      </c>
      <c r="B59" s="41">
        <f>B41+B52+B57+B58</f>
        <v>11065.287783</v>
      </c>
      <c r="C59" s="64">
        <f aca="true" t="shared" si="19" ref="C59:M59">+C57+C52+C41+C58</f>
        <v>12658.601070000002</v>
      </c>
      <c r="D59" s="64">
        <f t="shared" si="19"/>
        <v>12915.784</v>
      </c>
      <c r="E59" s="64">
        <f t="shared" si="19"/>
        <v>36639.672853000004</v>
      </c>
      <c r="F59" s="64">
        <f t="shared" si="19"/>
        <v>12436.1</v>
      </c>
      <c r="G59" s="64">
        <f t="shared" si="19"/>
        <v>13566.6</v>
      </c>
      <c r="H59" s="64">
        <f t="shared" si="19"/>
        <v>12359.880669999999</v>
      </c>
      <c r="I59" s="64">
        <f t="shared" si="19"/>
        <v>38362.580669999996</v>
      </c>
      <c r="J59" s="64">
        <f t="shared" si="19"/>
        <v>11800.084879000002</v>
      </c>
      <c r="K59" s="64">
        <f t="shared" si="19"/>
        <v>12922.944081999998</v>
      </c>
      <c r="L59" s="64">
        <f t="shared" si="19"/>
        <v>12821.425498999999</v>
      </c>
      <c r="M59" s="64">
        <f t="shared" si="19"/>
        <v>37544.45446</v>
      </c>
      <c r="N59" s="57">
        <f>+N57+N52+N41+N58</f>
        <v>12462.122214</v>
      </c>
      <c r="O59" s="57">
        <f>+O57+O52+O41+O58</f>
        <v>11561.701762</v>
      </c>
      <c r="P59" s="57">
        <f>+P57+P52+P41+P58</f>
        <v>12746.746856999998</v>
      </c>
      <c r="Q59" s="57">
        <f>+Q57+Q52+Q41+Q58</f>
        <v>36770.570833</v>
      </c>
      <c r="R59" s="28"/>
    </row>
    <row r="60" spans="1:17" ht="12.75" customHeight="1">
      <c r="A60" s="20" t="s">
        <v>104</v>
      </c>
      <c r="B60" s="65">
        <v>3301</v>
      </c>
      <c r="C60" s="54">
        <v>3301</v>
      </c>
      <c r="D60" s="54">
        <v>5220.7</v>
      </c>
      <c r="E60" s="54">
        <f>SUM(B60:D60)</f>
        <v>11822.7</v>
      </c>
      <c r="F60" s="54">
        <v>4260.9</v>
      </c>
      <c r="G60" s="35">
        <v>5220.7</v>
      </c>
      <c r="H60" s="54">
        <v>4260.9</v>
      </c>
      <c r="I60" s="54">
        <f>SUM(F60:H60)</f>
        <v>13742.499999999998</v>
      </c>
      <c r="J60" s="54">
        <v>4260.9</v>
      </c>
      <c r="K60" s="54">
        <v>4260.9</v>
      </c>
      <c r="L60" s="54">
        <v>4260.9</v>
      </c>
      <c r="M60" s="22">
        <f>SUM(J60:L60)</f>
        <v>12782.699999999999</v>
      </c>
      <c r="N60" s="52">
        <v>4260.9</v>
      </c>
      <c r="O60" s="52">
        <v>4260.9</v>
      </c>
      <c r="P60" s="52">
        <v>4260.9</v>
      </c>
      <c r="Q60" s="52">
        <f>SUM(N60:P60)</f>
        <v>12782.699999999999</v>
      </c>
    </row>
    <row r="61" spans="1:17" ht="12.75" customHeight="1">
      <c r="A61" s="17" t="s">
        <v>116</v>
      </c>
      <c r="B61" s="40">
        <f>B59-B60</f>
        <v>7764.287783</v>
      </c>
      <c r="C61" s="41">
        <f aca="true" t="shared" si="20" ref="C61:M61">+C59-C60</f>
        <v>9357.601070000002</v>
      </c>
      <c r="D61" s="41">
        <f t="shared" si="20"/>
        <v>7695.084</v>
      </c>
      <c r="E61" s="41">
        <f t="shared" si="20"/>
        <v>24816.972853000003</v>
      </c>
      <c r="F61" s="41">
        <f t="shared" si="20"/>
        <v>8175.200000000001</v>
      </c>
      <c r="G61" s="41">
        <f t="shared" si="20"/>
        <v>8345.900000000001</v>
      </c>
      <c r="H61" s="41">
        <f t="shared" si="20"/>
        <v>8098.980669999999</v>
      </c>
      <c r="I61" s="41">
        <f t="shared" si="20"/>
        <v>24620.080669999996</v>
      </c>
      <c r="J61" s="41">
        <f t="shared" si="20"/>
        <v>7539.184879000002</v>
      </c>
      <c r="K61" s="41">
        <f t="shared" si="20"/>
        <v>8662.044081999999</v>
      </c>
      <c r="L61" s="41">
        <f t="shared" si="20"/>
        <v>8560.525499</v>
      </c>
      <c r="M61" s="41">
        <f t="shared" si="20"/>
        <v>24761.754460000004</v>
      </c>
      <c r="N61" s="42">
        <f>+N59-N60</f>
        <v>8201.222214000001</v>
      </c>
      <c r="O61" s="42">
        <f>+O59-O60</f>
        <v>7300.801762000001</v>
      </c>
      <c r="P61" s="42">
        <f>+P59-P60</f>
        <v>8485.846856999999</v>
      </c>
      <c r="Q61" s="42">
        <f>+Q59-Q60</f>
        <v>23987.870833</v>
      </c>
    </row>
    <row r="62" spans="1:17" ht="12.75">
      <c r="A62" s="59" t="s">
        <v>103</v>
      </c>
      <c r="B62" s="37">
        <v>441.110127</v>
      </c>
      <c r="C62" s="38">
        <v>727.2</v>
      </c>
      <c r="D62" s="38">
        <v>445.6</v>
      </c>
      <c r="E62" s="38">
        <f>SUM(B62:D62)</f>
        <v>1613.910127</v>
      </c>
      <c r="F62" s="38">
        <v>464.2</v>
      </c>
      <c r="G62" s="38">
        <v>477.2</v>
      </c>
      <c r="H62" s="38">
        <v>810.7</v>
      </c>
      <c r="I62" s="38">
        <f>SUM(F62:H62)</f>
        <v>1752.1</v>
      </c>
      <c r="J62" s="38">
        <v>0</v>
      </c>
      <c r="K62" s="38">
        <v>803.8</v>
      </c>
      <c r="L62" s="38">
        <v>844.4</v>
      </c>
      <c r="M62" s="22">
        <f>SUM(J62:L62)</f>
        <v>1648.1999999999998</v>
      </c>
      <c r="N62" s="38">
        <v>625.7</v>
      </c>
      <c r="O62" s="38">
        <v>378.5</v>
      </c>
      <c r="P62" s="38">
        <v>1156.8</v>
      </c>
      <c r="Q62" s="22">
        <f>SUM(N62:P62)</f>
        <v>2161</v>
      </c>
    </row>
    <row r="63" spans="1:17" ht="12.75">
      <c r="A63" s="39" t="s">
        <v>4</v>
      </c>
      <c r="B63" s="40">
        <f>SUM(B61:B62)</f>
        <v>8205.39791</v>
      </c>
      <c r="C63" s="41">
        <f aca="true" t="shared" si="21" ref="C63:M63">C61+C62</f>
        <v>10084.801070000003</v>
      </c>
      <c r="D63" s="41">
        <f t="shared" si="21"/>
        <v>8140.684</v>
      </c>
      <c r="E63" s="41">
        <f t="shared" si="21"/>
        <v>26430.882980000002</v>
      </c>
      <c r="F63" s="41">
        <f t="shared" si="21"/>
        <v>8639.400000000001</v>
      </c>
      <c r="G63" s="41">
        <f t="shared" si="21"/>
        <v>8823.100000000002</v>
      </c>
      <c r="H63" s="41">
        <f t="shared" si="21"/>
        <v>8909.68067</v>
      </c>
      <c r="I63" s="41">
        <f t="shared" si="21"/>
        <v>26372.180669999994</v>
      </c>
      <c r="J63" s="41">
        <f t="shared" si="21"/>
        <v>7539.184879000002</v>
      </c>
      <c r="K63" s="41">
        <f t="shared" si="21"/>
        <v>9465.844081999998</v>
      </c>
      <c r="L63" s="41">
        <f t="shared" si="21"/>
        <v>9404.925498999999</v>
      </c>
      <c r="M63" s="41">
        <f t="shared" si="21"/>
        <v>26409.954460000004</v>
      </c>
      <c r="N63" s="42">
        <f>N61+N62</f>
        <v>8826.922214000002</v>
      </c>
      <c r="O63" s="42">
        <f>O61+O62</f>
        <v>7679.301762000001</v>
      </c>
      <c r="P63" s="42">
        <f>P61+P62</f>
        <v>9642.646856999998</v>
      </c>
      <c r="Q63" s="42">
        <f>Q61+Q62</f>
        <v>26148.870833</v>
      </c>
    </row>
    <row r="64" ht="12.75" customHeight="1">
      <c r="A64" s="23" t="s">
        <v>113</v>
      </c>
    </row>
    <row r="65" ht="12.75" customHeight="1"/>
    <row r="66" ht="12.75" customHeight="1"/>
    <row r="67" spans="1:17" ht="12.75" customHeight="1">
      <c r="A67" s="19" t="s">
        <v>60</v>
      </c>
      <c r="M67" s="66"/>
      <c r="Q67" s="4" t="s">
        <v>114</v>
      </c>
    </row>
    <row r="68" spans="1:17" ht="12.75" customHeight="1">
      <c r="A68" s="5" t="s">
        <v>106</v>
      </c>
      <c r="B68" s="6" t="s">
        <v>8</v>
      </c>
      <c r="C68" s="6"/>
      <c r="D68" s="6"/>
      <c r="E68" s="6"/>
      <c r="F68" s="6" t="s">
        <v>82</v>
      </c>
      <c r="G68" s="6"/>
      <c r="H68" s="6"/>
      <c r="I68" s="6"/>
      <c r="J68" s="6" t="s">
        <v>86</v>
      </c>
      <c r="K68" s="6"/>
      <c r="L68" s="6"/>
      <c r="M68" s="6"/>
      <c r="N68" s="6" t="s">
        <v>108</v>
      </c>
      <c r="O68" s="6"/>
      <c r="P68" s="6"/>
      <c r="Q68" s="6"/>
    </row>
    <row r="69" spans="1:17" ht="12.75" customHeight="1">
      <c r="A69" s="5"/>
      <c r="B69" s="7" t="s">
        <v>5</v>
      </c>
      <c r="C69" s="7" t="s">
        <v>6</v>
      </c>
      <c r="D69" s="7" t="s">
        <v>7</v>
      </c>
      <c r="E69" s="7" t="s">
        <v>107</v>
      </c>
      <c r="F69" s="7" t="s">
        <v>79</v>
      </c>
      <c r="G69" s="7" t="s">
        <v>80</v>
      </c>
      <c r="H69" s="7" t="s">
        <v>81</v>
      </c>
      <c r="I69" s="7" t="s">
        <v>107</v>
      </c>
      <c r="J69" s="7" t="s">
        <v>83</v>
      </c>
      <c r="K69" s="7" t="s">
        <v>84</v>
      </c>
      <c r="L69" s="7" t="s">
        <v>85</v>
      </c>
      <c r="M69" s="7" t="s">
        <v>107</v>
      </c>
      <c r="N69" s="7" t="s">
        <v>109</v>
      </c>
      <c r="O69" s="7" t="s">
        <v>110</v>
      </c>
      <c r="P69" s="7" t="s">
        <v>111</v>
      </c>
      <c r="Q69" s="7" t="s">
        <v>107</v>
      </c>
    </row>
    <row r="70" spans="1:17" ht="12.75">
      <c r="A70" s="8" t="s">
        <v>61</v>
      </c>
      <c r="B70" s="67">
        <v>11505.5</v>
      </c>
      <c r="C70" s="67">
        <v>8655.1</v>
      </c>
      <c r="D70" s="67">
        <v>7956.5</v>
      </c>
      <c r="E70" s="67">
        <f>SUM(B70:D70)</f>
        <v>28117.1</v>
      </c>
      <c r="F70" s="67">
        <v>9245.3</v>
      </c>
      <c r="G70" s="67">
        <v>10352.8</v>
      </c>
      <c r="H70" s="67">
        <v>10137.4</v>
      </c>
      <c r="I70" s="67">
        <f>SUM(F70:H70)</f>
        <v>29735.5</v>
      </c>
      <c r="J70" s="67">
        <v>7644.2</v>
      </c>
      <c r="K70" s="67">
        <v>6776.2</v>
      </c>
      <c r="L70" s="67">
        <v>8243.3</v>
      </c>
      <c r="M70" s="54">
        <f>SUM(J70:L70)</f>
        <v>22663.699999999997</v>
      </c>
      <c r="N70" s="67">
        <v>7150.6</v>
      </c>
      <c r="O70" s="67">
        <v>8307.6</v>
      </c>
      <c r="P70" s="67">
        <v>10586.9</v>
      </c>
      <c r="Q70" s="54">
        <f>SUM(N70:P70)</f>
        <v>26045.1</v>
      </c>
    </row>
    <row r="71" spans="1:17" ht="12.75">
      <c r="A71" s="15" t="s">
        <v>62</v>
      </c>
      <c r="B71" s="67">
        <v>1063.2</v>
      </c>
      <c r="C71" s="67">
        <f>10758-10086</f>
        <v>672</v>
      </c>
      <c r="D71" s="67">
        <f>759.6+0.2+1+22</f>
        <v>782.8000000000001</v>
      </c>
      <c r="E71" s="67">
        <f>SUM(B71:D71)</f>
        <v>2518</v>
      </c>
      <c r="F71" s="67">
        <v>986.2999999999993</v>
      </c>
      <c r="G71" s="67">
        <v>1323</v>
      </c>
      <c r="H71" s="67">
        <v>1099.8</v>
      </c>
      <c r="I71" s="67">
        <f>SUM(F71:H71)</f>
        <v>3409.0999999999995</v>
      </c>
      <c r="J71" s="67">
        <v>634.2000000000007</v>
      </c>
      <c r="K71" s="67">
        <v>911.4</v>
      </c>
      <c r="L71" s="67">
        <v>821.9</v>
      </c>
      <c r="M71" s="54">
        <f>SUM(J71:L71)</f>
        <v>2367.500000000001</v>
      </c>
      <c r="N71" s="67">
        <v>933.1</v>
      </c>
      <c r="O71" s="67">
        <v>1080.7</v>
      </c>
      <c r="P71" s="67">
        <v>1458.1</v>
      </c>
      <c r="Q71" s="54">
        <f>SUM(N71:P71)</f>
        <v>3471.9</v>
      </c>
    </row>
    <row r="72" spans="1:17" ht="12.75">
      <c r="A72" s="15" t="s">
        <v>63</v>
      </c>
      <c r="B72" s="67">
        <v>9917.9</v>
      </c>
      <c r="C72" s="67">
        <v>10086</v>
      </c>
      <c r="D72" s="67">
        <v>11983.9</v>
      </c>
      <c r="E72" s="67">
        <f>SUM(B72:D72)</f>
        <v>31987.800000000003</v>
      </c>
      <c r="F72" s="67">
        <v>9242.2</v>
      </c>
      <c r="G72" s="67">
        <v>7818.7</v>
      </c>
      <c r="H72" s="67">
        <v>9122.7</v>
      </c>
      <c r="I72" s="67">
        <f>SUM(F72:H72)</f>
        <v>26183.600000000002</v>
      </c>
      <c r="J72" s="67">
        <v>11264.5</v>
      </c>
      <c r="K72" s="67">
        <v>10158.1</v>
      </c>
      <c r="L72" s="67">
        <v>8019.9</v>
      </c>
      <c r="M72" s="54">
        <f>SUM(J72:L72)</f>
        <v>29442.5</v>
      </c>
      <c r="N72" s="67">
        <v>10686.1</v>
      </c>
      <c r="O72" s="67">
        <v>9140.8</v>
      </c>
      <c r="P72" s="67">
        <v>8407.9</v>
      </c>
      <c r="Q72" s="54">
        <f>SUM(N72:P72)</f>
        <v>28234.800000000003</v>
      </c>
    </row>
    <row r="73" spans="1:17" ht="12.75">
      <c r="A73" s="39" t="s">
        <v>48</v>
      </c>
      <c r="B73" s="68">
        <f aca="true" t="shared" si="22" ref="B73:M73">SUM(B70:B72)</f>
        <v>22486.6</v>
      </c>
      <c r="C73" s="68">
        <f t="shared" si="22"/>
        <v>19413.1</v>
      </c>
      <c r="D73" s="68">
        <f t="shared" si="22"/>
        <v>20723.199999999997</v>
      </c>
      <c r="E73" s="68">
        <f t="shared" si="22"/>
        <v>62622.9</v>
      </c>
      <c r="F73" s="68">
        <f t="shared" si="22"/>
        <v>19473.8</v>
      </c>
      <c r="G73" s="68">
        <f t="shared" si="22"/>
        <v>19494.5</v>
      </c>
      <c r="H73" s="68">
        <f t="shared" si="22"/>
        <v>20359.9</v>
      </c>
      <c r="I73" s="68">
        <f t="shared" si="22"/>
        <v>59328.2</v>
      </c>
      <c r="J73" s="68">
        <f t="shared" si="22"/>
        <v>19542.9</v>
      </c>
      <c r="K73" s="68">
        <f t="shared" si="22"/>
        <v>17845.7</v>
      </c>
      <c r="L73" s="68">
        <f t="shared" si="22"/>
        <v>17085.1</v>
      </c>
      <c r="M73" s="69">
        <f t="shared" si="22"/>
        <v>54473.7</v>
      </c>
      <c r="N73" s="68">
        <f>SUM(N70:N72)</f>
        <v>18769.800000000003</v>
      </c>
      <c r="O73" s="68">
        <f>SUM(O70:O72)</f>
        <v>18529.1</v>
      </c>
      <c r="P73" s="68">
        <f>SUM(P70:P72)</f>
        <v>20452.9</v>
      </c>
      <c r="Q73" s="54">
        <f>SUM(Q70:Q72)</f>
        <v>57751.8</v>
      </c>
    </row>
    <row r="74" spans="1:17" ht="12.75">
      <c r="A74" s="36" t="s">
        <v>98</v>
      </c>
      <c r="B74" s="70">
        <v>20467.6</v>
      </c>
      <c r="C74" s="70">
        <f>34746.4-10710.5</f>
        <v>24035.9</v>
      </c>
      <c r="D74" s="70">
        <f>36818.5-12179.6</f>
        <v>24638.9</v>
      </c>
      <c r="E74" s="70">
        <f>SUM(B74:D74)</f>
        <v>69142.4</v>
      </c>
      <c r="F74" s="70">
        <v>25921.9</v>
      </c>
      <c r="G74" s="67">
        <v>27417.3</v>
      </c>
      <c r="H74" s="67">
        <v>27980.2</v>
      </c>
      <c r="I74" s="67">
        <f>SUM(F74:H74)</f>
        <v>81319.4</v>
      </c>
      <c r="J74" s="67">
        <v>21956.8</v>
      </c>
      <c r="K74" s="67">
        <v>25740.6</v>
      </c>
      <c r="L74" s="67">
        <v>29510.5</v>
      </c>
      <c r="M74" s="54">
        <f>SUM(J74:L74)</f>
        <v>77207.9</v>
      </c>
      <c r="N74" s="67">
        <v>24945.9</v>
      </c>
      <c r="O74" s="67">
        <v>26441.4</v>
      </c>
      <c r="P74" s="67">
        <v>32825.8</v>
      </c>
      <c r="Q74" s="54">
        <f>SUM(N74:P74)</f>
        <v>84213.1</v>
      </c>
    </row>
    <row r="75" spans="1:17" ht="12.75">
      <c r="A75" s="8" t="s">
        <v>99</v>
      </c>
      <c r="B75" s="67">
        <v>9739.9</v>
      </c>
      <c r="C75" s="67">
        <v>10710.5</v>
      </c>
      <c r="D75" s="67">
        <v>12179.6</v>
      </c>
      <c r="E75" s="70">
        <f>SUM(B75:D75)</f>
        <v>32630</v>
      </c>
      <c r="F75" s="67">
        <v>9926.6</v>
      </c>
      <c r="G75" s="70">
        <v>8108.9</v>
      </c>
      <c r="H75" s="67">
        <v>9924.5</v>
      </c>
      <c r="I75" s="67">
        <f>SUM(F75:H75)</f>
        <v>27960</v>
      </c>
      <c r="J75" s="67">
        <v>12432.8</v>
      </c>
      <c r="K75" s="67">
        <v>11026</v>
      </c>
      <c r="L75" s="67">
        <v>8392.9</v>
      </c>
      <c r="M75" s="54">
        <f>SUM(J75:L75)</f>
        <v>31851.699999999997</v>
      </c>
      <c r="N75" s="67">
        <v>11631.4</v>
      </c>
      <c r="O75" s="67">
        <v>10931.6</v>
      </c>
      <c r="P75" s="67">
        <v>10779.8</v>
      </c>
      <c r="Q75" s="54">
        <f>SUM(N75:P75)</f>
        <v>33342.8</v>
      </c>
    </row>
    <row r="76" spans="1:17" ht="12.75">
      <c r="A76" s="8" t="s">
        <v>64</v>
      </c>
      <c r="B76" s="70">
        <v>6433.3</v>
      </c>
      <c r="C76" s="70">
        <v>6876.7</v>
      </c>
      <c r="D76" s="70">
        <v>6204.1</v>
      </c>
      <c r="E76" s="70">
        <f>SUM(B76:D76)</f>
        <v>19514.1</v>
      </c>
      <c r="F76" s="70">
        <v>5024.3</v>
      </c>
      <c r="G76" s="70">
        <v>4264.7</v>
      </c>
      <c r="H76" s="70">
        <v>5293.2</v>
      </c>
      <c r="I76" s="70">
        <f>SUM(F76:H76)</f>
        <v>14582.2</v>
      </c>
      <c r="J76" s="70">
        <v>6659.2</v>
      </c>
      <c r="K76" s="70">
        <v>6327.1</v>
      </c>
      <c r="L76" s="70">
        <v>4479.8</v>
      </c>
      <c r="M76" s="54">
        <f>SUM(J76:L76)</f>
        <v>17466.1</v>
      </c>
      <c r="N76" s="67">
        <v>6301.6</v>
      </c>
      <c r="O76" s="67">
        <v>5277.3</v>
      </c>
      <c r="P76" s="67">
        <v>4703.5</v>
      </c>
      <c r="Q76" s="54">
        <f>SUM(N76:P76)</f>
        <v>16282.400000000001</v>
      </c>
    </row>
    <row r="77" spans="1:17" ht="12.75">
      <c r="A77" s="13" t="s">
        <v>65</v>
      </c>
      <c r="B77" s="67">
        <v>21.8</v>
      </c>
      <c r="C77" s="67">
        <v>10.7</v>
      </c>
      <c r="D77" s="67">
        <f>7076.7-6204.1-10-262.6+0.4-563.8</f>
        <v>36.599999999999454</v>
      </c>
      <c r="E77" s="70">
        <f>SUM(B77:D77)</f>
        <v>69.09999999999945</v>
      </c>
      <c r="F77" s="67">
        <v>12.6</v>
      </c>
      <c r="G77" s="67">
        <v>20</v>
      </c>
      <c r="H77" s="67">
        <v>13.4</v>
      </c>
      <c r="I77" s="67">
        <f>SUM(F77:H77)</f>
        <v>46</v>
      </c>
      <c r="J77" s="67">
        <v>0.372753</v>
      </c>
      <c r="K77" s="67">
        <v>0.249913</v>
      </c>
      <c r="L77" s="67">
        <v>3</v>
      </c>
      <c r="M77" s="54">
        <f>SUM(J77:L77)</f>
        <v>3.6226659999999997</v>
      </c>
      <c r="N77" s="67">
        <v>0.37223</v>
      </c>
      <c r="O77" s="67">
        <v>37.7</v>
      </c>
      <c r="P77" s="67">
        <v>0.992894</v>
      </c>
      <c r="Q77" s="54">
        <f>SUM(N77:P77)</f>
        <v>39.065124000000004</v>
      </c>
    </row>
    <row r="78" spans="1:17" ht="12.75">
      <c r="A78" s="8" t="s">
        <v>66</v>
      </c>
      <c r="B78" s="67">
        <v>33.8</v>
      </c>
      <c r="C78" s="67">
        <v>9.3</v>
      </c>
      <c r="D78" s="67">
        <v>0</v>
      </c>
      <c r="E78" s="70">
        <f>SUM(B78:D78)</f>
        <v>43.099999999999994</v>
      </c>
      <c r="F78" s="67">
        <v>28.5</v>
      </c>
      <c r="G78" s="67">
        <v>17.3</v>
      </c>
      <c r="H78" s="67">
        <v>20.2</v>
      </c>
      <c r="I78" s="67">
        <f>SUM(F78:H78)</f>
        <v>66</v>
      </c>
      <c r="J78" s="67">
        <v>6.2</v>
      </c>
      <c r="K78" s="67">
        <v>19.9</v>
      </c>
      <c r="L78" s="67">
        <v>0</v>
      </c>
      <c r="M78" s="54">
        <f>SUM(J78:L78)</f>
        <v>26.099999999999998</v>
      </c>
      <c r="N78" s="67">
        <v>19.6</v>
      </c>
      <c r="O78" s="67">
        <v>4.9</v>
      </c>
      <c r="P78" s="67">
        <v>14.1</v>
      </c>
      <c r="Q78" s="54">
        <f>SUM(N78:P78)</f>
        <v>38.6</v>
      </c>
    </row>
    <row r="79" spans="1:17" ht="12.75">
      <c r="A79" s="39" t="s">
        <v>48</v>
      </c>
      <c r="B79" s="68">
        <f aca="true" t="shared" si="23" ref="B79:M79">SUM(B74:B78)</f>
        <v>36696.40000000001</v>
      </c>
      <c r="C79" s="68">
        <f t="shared" si="23"/>
        <v>41643.1</v>
      </c>
      <c r="D79" s="68">
        <f t="shared" si="23"/>
        <v>43059.2</v>
      </c>
      <c r="E79" s="68">
        <f t="shared" si="23"/>
        <v>121398.70000000001</v>
      </c>
      <c r="F79" s="68">
        <f t="shared" si="23"/>
        <v>40913.9</v>
      </c>
      <c r="G79" s="68">
        <f t="shared" si="23"/>
        <v>39828.2</v>
      </c>
      <c r="H79" s="68">
        <f t="shared" si="23"/>
        <v>43231.49999999999</v>
      </c>
      <c r="I79" s="68">
        <f t="shared" si="23"/>
        <v>123973.59999999999</v>
      </c>
      <c r="J79" s="68">
        <f t="shared" si="23"/>
        <v>41055.372752999996</v>
      </c>
      <c r="K79" s="68">
        <f t="shared" si="23"/>
        <v>43113.849913</v>
      </c>
      <c r="L79" s="68">
        <f t="shared" si="23"/>
        <v>42386.200000000004</v>
      </c>
      <c r="M79" s="68">
        <f t="shared" si="23"/>
        <v>126555.42266599998</v>
      </c>
      <c r="N79" s="68">
        <f>SUM(N74:N78)</f>
        <v>42898.87223</v>
      </c>
      <c r="O79" s="68">
        <f>SUM(O74:O78)</f>
        <v>42692.9</v>
      </c>
      <c r="P79" s="68">
        <f>SUM(P74:P78)</f>
        <v>48324.19289400001</v>
      </c>
      <c r="Q79" s="68">
        <f>SUM(Q74:Q78)</f>
        <v>133915.965124</v>
      </c>
    </row>
    <row r="80" spans="1:17" ht="12.75" customHeight="1" hidden="1">
      <c r="A80" s="39" t="s">
        <v>67</v>
      </c>
      <c r="B80" s="33"/>
      <c r="C80" s="33"/>
      <c r="D80" s="33"/>
      <c r="E80" s="33"/>
      <c r="F80" s="33"/>
      <c r="G80" s="71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ht="12.75" customHeight="1" hidden="1">
      <c r="A81" s="8" t="s">
        <v>68</v>
      </c>
      <c r="B81" s="67">
        <v>3.1606</v>
      </c>
      <c r="C81" s="67">
        <v>3.5</v>
      </c>
      <c r="D81" s="67">
        <v>120.4</v>
      </c>
      <c r="E81" s="67">
        <f>SUM(B81:D81)</f>
        <v>127.06060000000001</v>
      </c>
      <c r="F81" s="67">
        <v>7.9</v>
      </c>
      <c r="G81" s="67">
        <v>4.8</v>
      </c>
      <c r="H81" s="67">
        <v>6.3</v>
      </c>
      <c r="I81" s="67">
        <f>SUM(F81:H81)</f>
        <v>19</v>
      </c>
      <c r="J81" s="67">
        <v>1.8</v>
      </c>
      <c r="K81" s="67">
        <v>4.1</v>
      </c>
      <c r="L81" s="67">
        <v>10.1</v>
      </c>
      <c r="M81" s="54">
        <f>SUM(J81:L81)</f>
        <v>16</v>
      </c>
      <c r="N81" s="67">
        <v>0.5</v>
      </c>
      <c r="O81" s="67">
        <v>0.6</v>
      </c>
      <c r="P81" s="67">
        <v>2.7</v>
      </c>
      <c r="Q81" s="54">
        <f>SUM(N81:P81)</f>
        <v>3.8000000000000003</v>
      </c>
    </row>
    <row r="82" spans="1:17" ht="12.75" customHeight="1" hidden="1">
      <c r="A82" s="8" t="s">
        <v>69</v>
      </c>
      <c r="B82" s="70">
        <v>15.3</v>
      </c>
      <c r="C82" s="70">
        <v>16.5</v>
      </c>
      <c r="D82" s="70">
        <v>13.7</v>
      </c>
      <c r="E82" s="67">
        <f aca="true" t="shared" si="24" ref="E82:E88">SUM(B82:D82)</f>
        <v>45.5</v>
      </c>
      <c r="F82" s="70">
        <v>15.6</v>
      </c>
      <c r="G82" s="67">
        <v>8.4</v>
      </c>
      <c r="H82" s="70">
        <v>41.6</v>
      </c>
      <c r="I82" s="70">
        <f aca="true" t="shared" si="25" ref="I82:I88">SUM(F82:H82)</f>
        <v>65.6</v>
      </c>
      <c r="J82" s="70">
        <v>152.6</v>
      </c>
      <c r="K82" s="70">
        <v>54.5</v>
      </c>
      <c r="L82" s="70">
        <v>54</v>
      </c>
      <c r="M82" s="54">
        <f aca="true" t="shared" si="26" ref="M82:M88">SUM(J82:L82)</f>
        <v>261.1</v>
      </c>
      <c r="N82" s="67">
        <v>57.9</v>
      </c>
      <c r="O82" s="67">
        <v>79.5</v>
      </c>
      <c r="P82" s="67">
        <v>49.1</v>
      </c>
      <c r="Q82" s="54">
        <f aca="true" t="shared" si="27" ref="Q82:Q88">SUM(N82:P82)</f>
        <v>186.5</v>
      </c>
    </row>
    <row r="83" spans="1:17" ht="12.75" customHeight="1" hidden="1">
      <c r="A83" s="8" t="s">
        <v>70</v>
      </c>
      <c r="B83" s="67">
        <v>0.12805</v>
      </c>
      <c r="C83" s="67">
        <v>0.1</v>
      </c>
      <c r="D83" s="67">
        <v>0.1</v>
      </c>
      <c r="E83" s="67">
        <f t="shared" si="24"/>
        <v>0.32805</v>
      </c>
      <c r="F83" s="67">
        <v>0.2</v>
      </c>
      <c r="G83" s="67">
        <v>0.1</v>
      </c>
      <c r="H83" s="67">
        <v>0.1</v>
      </c>
      <c r="I83" s="67">
        <f t="shared" si="25"/>
        <v>0.4</v>
      </c>
      <c r="J83" s="67">
        <v>0.1373</v>
      </c>
      <c r="K83" s="67">
        <v>0.08555</v>
      </c>
      <c r="L83" s="67">
        <v>0.1498</v>
      </c>
      <c r="M83" s="54">
        <f t="shared" si="26"/>
        <v>0.37265</v>
      </c>
      <c r="N83" s="67">
        <v>0.1926</v>
      </c>
      <c r="O83" s="67">
        <v>0.2196</v>
      </c>
      <c r="P83" s="67">
        <v>0.1487</v>
      </c>
      <c r="Q83" s="54">
        <f t="shared" si="27"/>
        <v>0.5609</v>
      </c>
    </row>
    <row r="84" spans="1:17" ht="12.75" customHeight="1" hidden="1">
      <c r="A84" s="8" t="s">
        <v>71</v>
      </c>
      <c r="B84" s="67">
        <v>0.565324</v>
      </c>
      <c r="C84" s="67">
        <v>0.1</v>
      </c>
      <c r="D84" s="67">
        <v>0.1</v>
      </c>
      <c r="E84" s="67">
        <f t="shared" si="24"/>
        <v>0.765324</v>
      </c>
      <c r="F84" s="67">
        <v>0.1</v>
      </c>
      <c r="G84" s="67">
        <v>0.1</v>
      </c>
      <c r="H84" s="67">
        <v>0.1943</v>
      </c>
      <c r="I84" s="67">
        <f t="shared" si="25"/>
        <v>0.3943</v>
      </c>
      <c r="J84" s="67">
        <v>0.1</v>
      </c>
      <c r="K84" s="67">
        <v>0.0817</v>
      </c>
      <c r="L84" s="67">
        <v>0.1</v>
      </c>
      <c r="M84" s="54">
        <f t="shared" si="26"/>
        <v>0.2817</v>
      </c>
      <c r="N84" s="67">
        <v>0.1</v>
      </c>
      <c r="O84" s="67">
        <v>0.1</v>
      </c>
      <c r="P84" s="67">
        <v>0.1</v>
      </c>
      <c r="Q84" s="54">
        <f t="shared" si="27"/>
        <v>0.30000000000000004</v>
      </c>
    </row>
    <row r="85" spans="1:17" ht="12.75" customHeight="1" hidden="1">
      <c r="A85" s="15" t="s">
        <v>72</v>
      </c>
      <c r="B85" s="67">
        <v>18.115339</v>
      </c>
      <c r="C85" s="67">
        <v>25.4</v>
      </c>
      <c r="D85" s="67">
        <v>27.9</v>
      </c>
      <c r="E85" s="67">
        <f t="shared" si="24"/>
        <v>71.41533899999999</v>
      </c>
      <c r="F85" s="67">
        <v>62.9</v>
      </c>
      <c r="G85" s="67">
        <v>69.1</v>
      </c>
      <c r="H85" s="67">
        <v>58.9</v>
      </c>
      <c r="I85" s="67">
        <f t="shared" si="25"/>
        <v>190.9</v>
      </c>
      <c r="J85" s="67">
        <v>64.3</v>
      </c>
      <c r="K85" s="67">
        <v>70.7</v>
      </c>
      <c r="L85" s="67">
        <v>72.2</v>
      </c>
      <c r="M85" s="54">
        <f t="shared" si="26"/>
        <v>207.2</v>
      </c>
      <c r="N85" s="67">
        <v>44.3</v>
      </c>
      <c r="O85" s="67">
        <v>47.7</v>
      </c>
      <c r="P85" s="67">
        <v>34</v>
      </c>
      <c r="Q85" s="54">
        <f t="shared" si="27"/>
        <v>126</v>
      </c>
    </row>
    <row r="86" spans="1:17" ht="12.75" customHeight="1" hidden="1">
      <c r="A86" s="8" t="s">
        <v>73</v>
      </c>
      <c r="B86" s="67">
        <v>4</v>
      </c>
      <c r="C86" s="67">
        <v>5.9</v>
      </c>
      <c r="D86" s="67">
        <v>0.4</v>
      </c>
      <c r="E86" s="67">
        <f t="shared" si="24"/>
        <v>10.3</v>
      </c>
      <c r="F86" s="67">
        <v>4.2</v>
      </c>
      <c r="G86" s="67">
        <v>14.9</v>
      </c>
      <c r="H86" s="67">
        <v>48.5</v>
      </c>
      <c r="I86" s="67">
        <f t="shared" si="25"/>
        <v>67.6</v>
      </c>
      <c r="J86" s="67">
        <v>48.8</v>
      </c>
      <c r="K86" s="67">
        <v>1.6</v>
      </c>
      <c r="L86" s="67">
        <v>0.1</v>
      </c>
      <c r="M86" s="54">
        <f t="shared" si="26"/>
        <v>50.5</v>
      </c>
      <c r="N86" s="67">
        <v>0.441614</v>
      </c>
      <c r="O86" s="67">
        <v>0.6</v>
      </c>
      <c r="P86" s="67">
        <v>1.6</v>
      </c>
      <c r="Q86" s="54">
        <f t="shared" si="27"/>
        <v>2.641614</v>
      </c>
    </row>
    <row r="87" spans="1:17" ht="12.75" customHeight="1" hidden="1">
      <c r="A87" s="13" t="s">
        <v>74</v>
      </c>
      <c r="B87" s="70">
        <v>130.86999999999563</v>
      </c>
      <c r="C87" s="70">
        <f>151.1+7.9+5.9+0.4+0.4-15.2</f>
        <v>150.50000000000003</v>
      </c>
      <c r="D87" s="70">
        <f>100+10</f>
        <v>110</v>
      </c>
      <c r="E87" s="67">
        <f t="shared" si="24"/>
        <v>391.3699999999957</v>
      </c>
      <c r="F87" s="70">
        <v>1161</v>
      </c>
      <c r="G87" s="67">
        <v>332.9</v>
      </c>
      <c r="H87" s="70">
        <v>269.5</v>
      </c>
      <c r="I87" s="70">
        <f t="shared" si="25"/>
        <v>1763.4</v>
      </c>
      <c r="J87" s="70">
        <v>121.6</v>
      </c>
      <c r="K87" s="70">
        <v>1653.5</v>
      </c>
      <c r="L87" s="70">
        <v>439.2</v>
      </c>
      <c r="M87" s="54">
        <f t="shared" si="26"/>
        <v>2214.2999999999997</v>
      </c>
      <c r="N87" s="67">
        <v>167.2</v>
      </c>
      <c r="O87" s="67">
        <v>123.8</v>
      </c>
      <c r="P87" s="67">
        <v>157.5</v>
      </c>
      <c r="Q87" s="54">
        <f t="shared" si="27"/>
        <v>448.5</v>
      </c>
    </row>
    <row r="88" spans="1:17" ht="12.75" customHeight="1" hidden="1">
      <c r="A88" s="36" t="s">
        <v>88</v>
      </c>
      <c r="B88" s="70">
        <v>0</v>
      </c>
      <c r="C88" s="70">
        <v>0</v>
      </c>
      <c r="D88" s="70">
        <v>0</v>
      </c>
      <c r="E88" s="67">
        <f t="shared" si="24"/>
        <v>0</v>
      </c>
      <c r="F88" s="70">
        <v>0</v>
      </c>
      <c r="G88" s="67">
        <v>0</v>
      </c>
      <c r="H88" s="70">
        <v>0</v>
      </c>
      <c r="I88" s="70">
        <f t="shared" si="25"/>
        <v>0</v>
      </c>
      <c r="J88" s="70">
        <v>0</v>
      </c>
      <c r="K88" s="70">
        <v>0</v>
      </c>
      <c r="L88" s="70">
        <v>3000</v>
      </c>
      <c r="M88" s="54">
        <f t="shared" si="26"/>
        <v>3000</v>
      </c>
      <c r="N88" s="67">
        <v>0</v>
      </c>
      <c r="O88" s="67">
        <v>13.4</v>
      </c>
      <c r="P88" s="67">
        <v>101.8</v>
      </c>
      <c r="Q88" s="54">
        <f t="shared" si="27"/>
        <v>115.2</v>
      </c>
    </row>
    <row r="89" spans="1:17" ht="12.75" customHeight="1">
      <c r="A89" s="105" t="s">
        <v>117</v>
      </c>
      <c r="B89" s="72">
        <f aca="true" t="shared" si="28" ref="B89:M89">SUM(B81:B88)</f>
        <v>172.13931299999564</v>
      </c>
      <c r="C89" s="72">
        <f t="shared" si="28"/>
        <v>202.00000000000003</v>
      </c>
      <c r="D89" s="72">
        <f t="shared" si="28"/>
        <v>272.6</v>
      </c>
      <c r="E89" s="72">
        <f t="shared" si="28"/>
        <v>646.7393129999957</v>
      </c>
      <c r="F89" s="72">
        <f t="shared" si="28"/>
        <v>1251.9</v>
      </c>
      <c r="G89" s="72">
        <f t="shared" si="28"/>
        <v>430.29999999999995</v>
      </c>
      <c r="H89" s="72">
        <f t="shared" si="28"/>
        <v>425.0943</v>
      </c>
      <c r="I89" s="72">
        <f t="shared" si="28"/>
        <v>2107.2943</v>
      </c>
      <c r="J89" s="72">
        <f t="shared" si="28"/>
        <v>389.3373</v>
      </c>
      <c r="K89" s="72">
        <f t="shared" si="28"/>
        <v>1784.56725</v>
      </c>
      <c r="L89" s="72">
        <f t="shared" si="28"/>
        <v>3575.8498</v>
      </c>
      <c r="M89" s="72">
        <f t="shared" si="28"/>
        <v>5749.754349999999</v>
      </c>
      <c r="N89" s="72">
        <f>SUM(N81:N88)</f>
        <v>270.634214</v>
      </c>
      <c r="O89" s="72">
        <f>SUM(O81:O88)</f>
        <v>265.91959999999995</v>
      </c>
      <c r="P89" s="72">
        <f>SUM(P81:P88)</f>
        <v>346.9487</v>
      </c>
      <c r="Q89" s="72">
        <f>SUM(Q81:Q88)</f>
        <v>883.502514</v>
      </c>
    </row>
    <row r="90" spans="1:17" ht="12.75" customHeight="1">
      <c r="A90" s="17" t="s">
        <v>115</v>
      </c>
      <c r="B90" s="73">
        <f>B73+B79+B89</f>
        <v>59355.139313</v>
      </c>
      <c r="C90" s="69">
        <f aca="true" t="shared" si="29" ref="C90:M90">C89+C79+C73</f>
        <v>61258.2</v>
      </c>
      <c r="D90" s="69">
        <f t="shared" si="29"/>
        <v>64054.99999999999</v>
      </c>
      <c r="E90" s="69">
        <f t="shared" si="29"/>
        <v>184668.339313</v>
      </c>
      <c r="F90" s="69">
        <f t="shared" si="29"/>
        <v>61639.600000000006</v>
      </c>
      <c r="G90" s="69">
        <f t="shared" si="29"/>
        <v>59753</v>
      </c>
      <c r="H90" s="69">
        <f t="shared" si="29"/>
        <v>64016.49429999999</v>
      </c>
      <c r="I90" s="69">
        <f t="shared" si="29"/>
        <v>185409.0943</v>
      </c>
      <c r="J90" s="69">
        <f t="shared" si="29"/>
        <v>60987.610053</v>
      </c>
      <c r="K90" s="69">
        <f t="shared" si="29"/>
        <v>62744.117163</v>
      </c>
      <c r="L90" s="69">
        <f t="shared" si="29"/>
        <v>63047.14980000001</v>
      </c>
      <c r="M90" s="69">
        <f t="shared" si="29"/>
        <v>186778.87701599998</v>
      </c>
      <c r="N90" s="69">
        <f>N89+N79+N73</f>
        <v>61939.306444</v>
      </c>
      <c r="O90" s="69">
        <f>O89+O79+O73</f>
        <v>61487.9196</v>
      </c>
      <c r="P90" s="69">
        <f>P89+P79+P73</f>
        <v>69124.04159400001</v>
      </c>
      <c r="Q90" s="69">
        <f>Q89+Q79+Q73</f>
        <v>192551.26763800002</v>
      </c>
    </row>
    <row r="91" spans="1:17" ht="12.75" customHeight="1">
      <c r="A91" s="20" t="s">
        <v>104</v>
      </c>
      <c r="B91" s="74">
        <v>500</v>
      </c>
      <c r="C91" s="74">
        <f>164.8</f>
        <v>164.8</v>
      </c>
      <c r="D91" s="74">
        <f>164.7+139.5</f>
        <v>304.2</v>
      </c>
      <c r="E91" s="74">
        <f>SUM(B91:D91)</f>
        <v>969</v>
      </c>
      <c r="F91" s="74">
        <v>304.2</v>
      </c>
      <c r="G91" s="74">
        <v>234.5</v>
      </c>
      <c r="H91" s="74">
        <v>234.5</v>
      </c>
      <c r="I91" s="74">
        <f>SUM(F91:H91)</f>
        <v>773.2</v>
      </c>
      <c r="J91" s="74">
        <v>234.5</v>
      </c>
      <c r="K91" s="74">
        <v>234.5</v>
      </c>
      <c r="L91" s="74">
        <v>234.5</v>
      </c>
      <c r="M91" s="54">
        <f>SUM(J91:L91)</f>
        <v>703.5</v>
      </c>
      <c r="N91" s="52">
        <v>234.5</v>
      </c>
      <c r="O91" s="52">
        <v>234.5</v>
      </c>
      <c r="P91" s="52">
        <v>234.5</v>
      </c>
      <c r="Q91" s="54">
        <f>SUM(N91:P91)</f>
        <v>703.5</v>
      </c>
    </row>
    <row r="92" spans="1:17" ht="12.75" customHeight="1">
      <c r="A92" s="17" t="s">
        <v>116</v>
      </c>
      <c r="B92" s="18">
        <f>B90-B91</f>
        <v>58855.139313</v>
      </c>
      <c r="C92" s="18">
        <f aca="true" t="shared" si="30" ref="C92:M92">+C90-C91</f>
        <v>61093.399999999994</v>
      </c>
      <c r="D92" s="18">
        <f t="shared" si="30"/>
        <v>63750.799999999996</v>
      </c>
      <c r="E92" s="18">
        <f t="shared" si="30"/>
        <v>183699.339313</v>
      </c>
      <c r="F92" s="18">
        <f t="shared" si="30"/>
        <v>61335.40000000001</v>
      </c>
      <c r="G92" s="18">
        <f t="shared" si="30"/>
        <v>59518.5</v>
      </c>
      <c r="H92" s="18">
        <f t="shared" si="30"/>
        <v>63781.99429999999</v>
      </c>
      <c r="I92" s="18">
        <f t="shared" si="30"/>
        <v>184635.89429999999</v>
      </c>
      <c r="J92" s="18">
        <f t="shared" si="30"/>
        <v>60753.110053</v>
      </c>
      <c r="K92" s="18">
        <f t="shared" si="30"/>
        <v>62509.617163</v>
      </c>
      <c r="L92" s="18">
        <f t="shared" si="30"/>
        <v>62812.64980000001</v>
      </c>
      <c r="M92" s="18">
        <f t="shared" si="30"/>
        <v>186075.37701599998</v>
      </c>
      <c r="N92" s="18">
        <f>+N90-N91</f>
        <v>61704.806444</v>
      </c>
      <c r="O92" s="18">
        <f>+O90-O91</f>
        <v>61253.4196</v>
      </c>
      <c r="P92" s="18">
        <f>+P90-P91</f>
        <v>68889.54159400001</v>
      </c>
      <c r="Q92" s="18">
        <f>+Q90-Q91</f>
        <v>191847.76763800002</v>
      </c>
    </row>
    <row r="93" spans="1:17" ht="12.75" customHeight="1">
      <c r="A93" s="8" t="s">
        <v>103</v>
      </c>
      <c r="B93" s="67">
        <v>1527.4</v>
      </c>
      <c r="C93" s="67">
        <v>638.3</v>
      </c>
      <c r="D93" s="67">
        <v>563.8</v>
      </c>
      <c r="E93" s="67">
        <f>SUM(B93:D93)</f>
        <v>2729.5</v>
      </c>
      <c r="F93" s="67">
        <v>355.8</v>
      </c>
      <c r="G93" s="67">
        <v>668.9</v>
      </c>
      <c r="H93" s="67">
        <v>876.8</v>
      </c>
      <c r="I93" s="67">
        <f>SUM(F93:H93)</f>
        <v>1901.5</v>
      </c>
      <c r="J93" s="67">
        <v>395.2</v>
      </c>
      <c r="K93" s="67">
        <v>668.1</v>
      </c>
      <c r="L93" s="67">
        <v>551.6</v>
      </c>
      <c r="M93" s="54">
        <f>SUM(J93:L93)</f>
        <v>1614.9</v>
      </c>
      <c r="N93" s="67">
        <v>372.2</v>
      </c>
      <c r="O93" s="67">
        <v>824.6</v>
      </c>
      <c r="P93" s="67">
        <v>834.3</v>
      </c>
      <c r="Q93" s="54">
        <f>SUM(N93:P93)</f>
        <v>2031.1</v>
      </c>
    </row>
    <row r="94" spans="1:17" ht="12.75" customHeight="1">
      <c r="A94" s="39" t="s">
        <v>4</v>
      </c>
      <c r="B94" s="18">
        <f>B92+B93</f>
        <v>60382.539313</v>
      </c>
      <c r="C94" s="18">
        <f aca="true" t="shared" si="31" ref="C94:M94">C92+C93</f>
        <v>61731.7</v>
      </c>
      <c r="D94" s="18">
        <f t="shared" si="31"/>
        <v>64314.6</v>
      </c>
      <c r="E94" s="18">
        <f t="shared" si="31"/>
        <v>186428.839313</v>
      </c>
      <c r="F94" s="18">
        <f t="shared" si="31"/>
        <v>61691.20000000001</v>
      </c>
      <c r="G94" s="18">
        <f t="shared" si="31"/>
        <v>60187.4</v>
      </c>
      <c r="H94" s="18">
        <f t="shared" si="31"/>
        <v>64658.794299999994</v>
      </c>
      <c r="I94" s="18">
        <f t="shared" si="31"/>
        <v>186537.39429999999</v>
      </c>
      <c r="J94" s="18">
        <f t="shared" si="31"/>
        <v>61148.310052999994</v>
      </c>
      <c r="K94" s="18">
        <f t="shared" si="31"/>
        <v>63177.717163</v>
      </c>
      <c r="L94" s="18">
        <f t="shared" si="31"/>
        <v>63364.249800000005</v>
      </c>
      <c r="M94" s="18">
        <f t="shared" si="31"/>
        <v>187690.27701599998</v>
      </c>
      <c r="N94" s="18">
        <f>N92+N93</f>
        <v>62077.006444</v>
      </c>
      <c r="O94" s="18">
        <f>O92+O93</f>
        <v>62078.0196</v>
      </c>
      <c r="P94" s="18">
        <f>P92+P93</f>
        <v>69723.84159400001</v>
      </c>
      <c r="Q94" s="18">
        <f>Q92+Q93</f>
        <v>193878.86763800003</v>
      </c>
    </row>
    <row r="95" ht="12.75" customHeight="1">
      <c r="A95" s="23" t="s">
        <v>113</v>
      </c>
    </row>
    <row r="96" ht="12.75" customHeight="1"/>
    <row r="97" ht="12.75" customHeight="1"/>
    <row r="98" spans="1:17" ht="12.75" customHeight="1">
      <c r="A98" s="19" t="s">
        <v>78</v>
      </c>
      <c r="M98" s="66"/>
      <c r="Q98" s="4" t="s">
        <v>114</v>
      </c>
    </row>
    <row r="99" spans="1:17" ht="12.75" customHeight="1">
      <c r="A99" s="5" t="s">
        <v>106</v>
      </c>
      <c r="B99" s="6" t="s">
        <v>8</v>
      </c>
      <c r="C99" s="6"/>
      <c r="D99" s="6"/>
      <c r="E99" s="6"/>
      <c r="F99" s="6" t="s">
        <v>82</v>
      </c>
      <c r="G99" s="6"/>
      <c r="H99" s="6"/>
      <c r="I99" s="6"/>
      <c r="J99" s="6" t="s">
        <v>86</v>
      </c>
      <c r="K99" s="6"/>
      <c r="L99" s="6"/>
      <c r="M99" s="6"/>
      <c r="N99" s="6" t="s">
        <v>108</v>
      </c>
      <c r="O99" s="6"/>
      <c r="P99" s="6"/>
      <c r="Q99" s="6"/>
    </row>
    <row r="100" spans="1:17" ht="12.75" customHeight="1">
      <c r="A100" s="5"/>
      <c r="B100" s="7" t="s">
        <v>5</v>
      </c>
      <c r="C100" s="7" t="s">
        <v>6</v>
      </c>
      <c r="D100" s="7" t="s">
        <v>7</v>
      </c>
      <c r="E100" s="7" t="s">
        <v>107</v>
      </c>
      <c r="F100" s="7" t="s">
        <v>79</v>
      </c>
      <c r="G100" s="7" t="s">
        <v>80</v>
      </c>
      <c r="H100" s="7" t="s">
        <v>81</v>
      </c>
      <c r="I100" s="7" t="s">
        <v>107</v>
      </c>
      <c r="J100" s="7" t="s">
        <v>83</v>
      </c>
      <c r="K100" s="7" t="s">
        <v>84</v>
      </c>
      <c r="L100" s="7" t="s">
        <v>85</v>
      </c>
      <c r="M100" s="7" t="s">
        <v>107</v>
      </c>
      <c r="N100" s="7" t="s">
        <v>109</v>
      </c>
      <c r="O100" s="7" t="s">
        <v>110</v>
      </c>
      <c r="P100" s="7" t="s">
        <v>111</v>
      </c>
      <c r="Q100" s="7" t="s">
        <v>107</v>
      </c>
    </row>
    <row r="101" spans="1:17" ht="12.75" customHeight="1">
      <c r="A101" s="8" t="s">
        <v>100</v>
      </c>
      <c r="B101" s="31"/>
      <c r="C101" s="31"/>
      <c r="D101" s="31"/>
      <c r="E101" s="31"/>
      <c r="F101" s="31"/>
      <c r="G101" s="33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ht="12.75" customHeight="1">
      <c r="A102" s="8" t="s">
        <v>40</v>
      </c>
      <c r="B102" s="35">
        <v>3322.1</v>
      </c>
      <c r="C102" s="35">
        <v>4899.9</v>
      </c>
      <c r="D102" s="35">
        <v>4214</v>
      </c>
      <c r="E102" s="35">
        <f>SUM(B102:D102)</f>
        <v>12436</v>
      </c>
      <c r="F102" s="35">
        <v>4024.7</v>
      </c>
      <c r="G102" s="35">
        <v>5311.5</v>
      </c>
      <c r="H102" s="35">
        <v>4298.8</v>
      </c>
      <c r="I102" s="35">
        <f>SUM(F102:H102)</f>
        <v>13635</v>
      </c>
      <c r="J102" s="35">
        <v>4619.9</v>
      </c>
      <c r="K102" s="35">
        <v>4785.3</v>
      </c>
      <c r="L102" s="35">
        <v>3875.6</v>
      </c>
      <c r="M102" s="54">
        <f>SUM(J102:L102)</f>
        <v>13280.800000000001</v>
      </c>
      <c r="N102" s="35">
        <v>4142.9</v>
      </c>
      <c r="O102" s="35">
        <v>4426.8</v>
      </c>
      <c r="P102" s="35">
        <v>4130.9</v>
      </c>
      <c r="Q102" s="54">
        <f>SUM(N102:P102)</f>
        <v>12700.6</v>
      </c>
    </row>
    <row r="103" spans="1:17" ht="12.75" customHeight="1">
      <c r="A103" s="8" t="s">
        <v>41</v>
      </c>
      <c r="B103" s="35">
        <v>1741.4</v>
      </c>
      <c r="C103" s="35">
        <v>2302</v>
      </c>
      <c r="D103" s="35">
        <v>2672</v>
      </c>
      <c r="E103" s="35">
        <f>SUM(B103:D103)</f>
        <v>6715.4</v>
      </c>
      <c r="F103" s="35">
        <v>2945.8</v>
      </c>
      <c r="G103" s="35">
        <v>2732.8</v>
      </c>
      <c r="H103" s="35">
        <v>3013.1</v>
      </c>
      <c r="I103" s="35">
        <f>SUM(F103:H103)</f>
        <v>8691.7</v>
      </c>
      <c r="J103" s="35">
        <v>2904.5</v>
      </c>
      <c r="K103" s="35">
        <v>2785.9</v>
      </c>
      <c r="L103" s="35">
        <v>2625.6</v>
      </c>
      <c r="M103" s="54">
        <f>SUM(J103:L103)</f>
        <v>8316</v>
      </c>
      <c r="N103" s="35">
        <v>3080.4</v>
      </c>
      <c r="O103" s="35">
        <v>2958.8</v>
      </c>
      <c r="P103" s="35">
        <v>2885.5</v>
      </c>
      <c r="Q103" s="54">
        <f>SUM(N103:P103)</f>
        <v>8924.7</v>
      </c>
    </row>
    <row r="104" spans="1:17" ht="12.75" customHeight="1">
      <c r="A104" s="36" t="s">
        <v>42</v>
      </c>
      <c r="B104" s="35">
        <v>469.2</v>
      </c>
      <c r="C104" s="35">
        <v>421.3</v>
      </c>
      <c r="D104" s="35">
        <v>461.4</v>
      </c>
      <c r="E104" s="35">
        <f>SUM(B104:D104)</f>
        <v>1351.9</v>
      </c>
      <c r="F104" s="35">
        <v>639.4</v>
      </c>
      <c r="G104" s="35">
        <v>586.8</v>
      </c>
      <c r="H104" s="35">
        <v>635.1</v>
      </c>
      <c r="I104" s="35">
        <f>SUM(F104:H104)</f>
        <v>1861.2999999999997</v>
      </c>
      <c r="J104" s="35">
        <v>802.7</v>
      </c>
      <c r="K104" s="35">
        <v>607</v>
      </c>
      <c r="L104" s="35">
        <v>564.7</v>
      </c>
      <c r="M104" s="54">
        <f>SUM(J104:L104)</f>
        <v>1974.4</v>
      </c>
      <c r="N104" s="35">
        <v>771.5</v>
      </c>
      <c r="O104" s="35">
        <v>509.6</v>
      </c>
      <c r="P104" s="35">
        <v>504.5</v>
      </c>
      <c r="Q104" s="54">
        <f>SUM(N104:P104)</f>
        <v>1785.6</v>
      </c>
    </row>
    <row r="105" spans="1:17" ht="12.75" customHeight="1">
      <c r="A105" s="8" t="s">
        <v>44</v>
      </c>
      <c r="B105" s="35">
        <v>683.9</v>
      </c>
      <c r="C105" s="35">
        <v>752.7</v>
      </c>
      <c r="D105" s="35">
        <v>923.4</v>
      </c>
      <c r="E105" s="35">
        <f>SUM(B105:D105)</f>
        <v>2360</v>
      </c>
      <c r="F105" s="35">
        <v>789.5</v>
      </c>
      <c r="G105" s="35">
        <v>0</v>
      </c>
      <c r="H105" s="35">
        <v>940.2</v>
      </c>
      <c r="I105" s="35">
        <f>SUM(F105:H105)</f>
        <v>1729.7</v>
      </c>
      <c r="J105" s="35">
        <v>950.1</v>
      </c>
      <c r="K105" s="35">
        <v>960.3</v>
      </c>
      <c r="L105" s="35">
        <v>912.6</v>
      </c>
      <c r="M105" s="54">
        <f>SUM(J105:L105)</f>
        <v>2823</v>
      </c>
      <c r="N105" s="35">
        <v>716</v>
      </c>
      <c r="O105" s="35">
        <v>1006.5</v>
      </c>
      <c r="P105" s="35">
        <v>1095.9</v>
      </c>
      <c r="Q105" s="54">
        <f>SUM(N105:P105)</f>
        <v>2818.4</v>
      </c>
    </row>
    <row r="106" spans="1:17" ht="12.75" customHeight="1">
      <c r="A106" s="8" t="s">
        <v>53</v>
      </c>
      <c r="B106" s="38">
        <v>352.5</v>
      </c>
      <c r="C106" s="38">
        <f>226.6</f>
        <v>226.6</v>
      </c>
      <c r="D106" s="38">
        <f>-8270.8+8465.5</f>
        <v>194.70000000000073</v>
      </c>
      <c r="E106" s="35">
        <f>SUM(B106:D106)</f>
        <v>773.8000000000008</v>
      </c>
      <c r="F106" s="38">
        <v>259.8000000000011</v>
      </c>
      <c r="G106" s="38">
        <v>1157.2</v>
      </c>
      <c r="H106" s="38">
        <v>274.6</v>
      </c>
      <c r="I106" s="38">
        <f>SUM(F106:H106)</f>
        <v>1691.6000000000013</v>
      </c>
      <c r="J106" s="38">
        <v>337.09999999999854</v>
      </c>
      <c r="K106" s="38">
        <v>258</v>
      </c>
      <c r="L106" s="38">
        <v>23</v>
      </c>
      <c r="M106" s="54">
        <f>SUM(J106:L106)</f>
        <v>618.0999999999985</v>
      </c>
      <c r="N106" s="35">
        <v>714.1</v>
      </c>
      <c r="O106" s="35">
        <v>227.7</v>
      </c>
      <c r="P106" s="35">
        <v>236.1</v>
      </c>
      <c r="Q106" s="54">
        <f>SUM(N106:P106)</f>
        <v>1177.8999999999999</v>
      </c>
    </row>
    <row r="107" spans="1:17" ht="12.75" customHeight="1">
      <c r="A107" s="39" t="s">
        <v>48</v>
      </c>
      <c r="B107" s="41">
        <f aca="true" t="shared" si="32" ref="B107:M107">SUM(B102:B106)</f>
        <v>6569.099999999999</v>
      </c>
      <c r="C107" s="41">
        <f t="shared" si="32"/>
        <v>8602.5</v>
      </c>
      <c r="D107" s="41">
        <f t="shared" si="32"/>
        <v>8465.5</v>
      </c>
      <c r="E107" s="41">
        <f t="shared" si="32"/>
        <v>23637.100000000002</v>
      </c>
      <c r="F107" s="41">
        <f t="shared" si="32"/>
        <v>8659.2</v>
      </c>
      <c r="G107" s="41">
        <f t="shared" si="32"/>
        <v>9788.300000000001</v>
      </c>
      <c r="H107" s="41">
        <f t="shared" si="32"/>
        <v>9161.800000000001</v>
      </c>
      <c r="I107" s="41">
        <f t="shared" si="32"/>
        <v>27609.300000000003</v>
      </c>
      <c r="J107" s="41">
        <f t="shared" si="32"/>
        <v>9614.3</v>
      </c>
      <c r="K107" s="41">
        <f t="shared" si="32"/>
        <v>9396.5</v>
      </c>
      <c r="L107" s="41">
        <f t="shared" si="32"/>
        <v>8001.5</v>
      </c>
      <c r="M107" s="41">
        <f t="shared" si="32"/>
        <v>27012.300000000003</v>
      </c>
      <c r="N107" s="42">
        <f>SUM(N102:N106)</f>
        <v>9424.9</v>
      </c>
      <c r="O107" s="42">
        <f>SUM(O102:O106)</f>
        <v>9129.400000000001</v>
      </c>
      <c r="P107" s="42">
        <f>SUM(P102:P106)</f>
        <v>8852.9</v>
      </c>
      <c r="Q107" s="42">
        <f>SUM(Q102:Q106)</f>
        <v>27407.200000000004</v>
      </c>
    </row>
    <row r="108" spans="1:17" ht="12.75" customHeight="1">
      <c r="A108" s="43" t="s">
        <v>97</v>
      </c>
      <c r="B108" s="45"/>
      <c r="C108" s="45"/>
      <c r="D108" s="45"/>
      <c r="E108" s="45"/>
      <c r="F108" s="45"/>
      <c r="G108" s="46"/>
      <c r="H108" s="45"/>
      <c r="I108" s="45"/>
      <c r="J108" s="45"/>
      <c r="K108" s="45"/>
      <c r="L108" s="45"/>
      <c r="M108" s="45"/>
      <c r="N108" s="45"/>
      <c r="O108" s="45"/>
      <c r="P108" s="45"/>
      <c r="Q108" s="45"/>
    </row>
    <row r="109" spans="1:17" ht="12.75" customHeight="1">
      <c r="A109" s="43" t="s">
        <v>40</v>
      </c>
      <c r="B109" s="35">
        <v>2467.6</v>
      </c>
      <c r="C109" s="35">
        <v>3038.9</v>
      </c>
      <c r="D109" s="35">
        <v>2919.8</v>
      </c>
      <c r="E109" s="35">
        <f>SUM(B109:D109)</f>
        <v>8426.3</v>
      </c>
      <c r="F109" s="35">
        <v>2496.8</v>
      </c>
      <c r="G109" s="35">
        <v>3247.7</v>
      </c>
      <c r="H109" s="35">
        <v>2702.6</v>
      </c>
      <c r="I109" s="35">
        <f>SUM(F109:H109)</f>
        <v>8447.1</v>
      </c>
      <c r="J109" s="35">
        <v>3089</v>
      </c>
      <c r="K109" s="35">
        <v>3258.8</v>
      </c>
      <c r="L109" s="35">
        <v>2451</v>
      </c>
      <c r="M109" s="54">
        <f>SUM(J109:L109)</f>
        <v>8798.8</v>
      </c>
      <c r="N109" s="35">
        <v>2395.4</v>
      </c>
      <c r="O109" s="35">
        <v>2924.6</v>
      </c>
      <c r="P109" s="35">
        <v>1985.7</v>
      </c>
      <c r="Q109" s="54">
        <f>SUM(N109:P109)</f>
        <v>7305.7</v>
      </c>
    </row>
    <row r="110" spans="1:17" ht="12.75" customHeight="1">
      <c r="A110" s="8" t="s">
        <v>41</v>
      </c>
      <c r="B110" s="38">
        <v>1858.909316</v>
      </c>
      <c r="C110" s="38">
        <v>1058.4</v>
      </c>
      <c r="D110" s="38">
        <v>1384.3</v>
      </c>
      <c r="E110" s="35">
        <f>SUM(B110:D110)</f>
        <v>4301.609316</v>
      </c>
      <c r="F110" s="38">
        <v>1463.1</v>
      </c>
      <c r="G110" s="35">
        <v>1309</v>
      </c>
      <c r="H110" s="38">
        <v>517.3</v>
      </c>
      <c r="I110" s="38">
        <f>SUM(F110:H110)</f>
        <v>3289.3999999999996</v>
      </c>
      <c r="J110" s="38">
        <v>1239.9</v>
      </c>
      <c r="K110" s="38">
        <v>998.2</v>
      </c>
      <c r="L110" s="38">
        <v>1427.3</v>
      </c>
      <c r="M110" s="54">
        <f>SUM(J110:L110)</f>
        <v>3665.4000000000005</v>
      </c>
      <c r="N110" s="35">
        <v>1352.9</v>
      </c>
      <c r="O110" s="35">
        <v>1316.8</v>
      </c>
      <c r="P110" s="35">
        <v>1372.1</v>
      </c>
      <c r="Q110" s="54">
        <f>SUM(N110:P110)</f>
        <v>4041.7999999999997</v>
      </c>
    </row>
    <row r="111" spans="1:17" ht="12.75" customHeight="1">
      <c r="A111" s="8" t="s">
        <v>42</v>
      </c>
      <c r="B111" s="35">
        <v>156.4</v>
      </c>
      <c r="C111" s="35">
        <v>127.1</v>
      </c>
      <c r="D111" s="35">
        <v>59.1</v>
      </c>
      <c r="E111" s="35">
        <f>SUM(B111:D111)</f>
        <v>342.6</v>
      </c>
      <c r="F111" s="35">
        <v>154.4</v>
      </c>
      <c r="G111" s="35">
        <v>0</v>
      </c>
      <c r="H111" s="35">
        <v>89</v>
      </c>
      <c r="I111" s="35">
        <f>SUM(F111:H111)</f>
        <v>243.4</v>
      </c>
      <c r="J111" s="35">
        <v>679.9</v>
      </c>
      <c r="K111" s="35">
        <v>501.1</v>
      </c>
      <c r="L111" s="35">
        <v>359.2</v>
      </c>
      <c r="M111" s="54">
        <f>SUM(J111:L111)</f>
        <v>1540.2</v>
      </c>
      <c r="N111" s="35">
        <v>501.3</v>
      </c>
      <c r="O111" s="35">
        <v>506.3</v>
      </c>
      <c r="P111" s="35">
        <v>0</v>
      </c>
      <c r="Q111" s="54">
        <f>SUM(N111:P111)</f>
        <v>1007.6</v>
      </c>
    </row>
    <row r="112" spans="1:17" ht="12.75" customHeight="1">
      <c r="A112" s="8" t="s">
        <v>53</v>
      </c>
      <c r="B112" s="54">
        <v>8680.4</v>
      </c>
      <c r="C112" s="54">
        <f>-4224.4+15907.6+0.1+0.3</f>
        <v>11683.6</v>
      </c>
      <c r="D112" s="54">
        <f>-4363.2+13214+162.8</f>
        <v>9013.599999999999</v>
      </c>
      <c r="E112" s="35">
        <f>SUM(B112:D112)</f>
        <v>29377.6</v>
      </c>
      <c r="F112" s="54">
        <v>9922.7</v>
      </c>
      <c r="G112" s="54">
        <v>10275</v>
      </c>
      <c r="H112" s="54">
        <v>9742.1</v>
      </c>
      <c r="I112" s="54">
        <f>SUM(F112:H112)</f>
        <v>29939.800000000003</v>
      </c>
      <c r="J112" s="54">
        <v>8093.1</v>
      </c>
      <c r="K112" s="54">
        <v>9407.6</v>
      </c>
      <c r="L112" s="54">
        <v>10004.2</v>
      </c>
      <c r="M112" s="54">
        <f>SUM(J112:L112)</f>
        <v>27504.9</v>
      </c>
      <c r="N112" s="35">
        <v>10087</v>
      </c>
      <c r="O112" s="35">
        <v>8573.9</v>
      </c>
      <c r="P112" s="35">
        <v>10247.5</v>
      </c>
      <c r="Q112" s="54">
        <f>SUM(N112:P112)</f>
        <v>28908.4</v>
      </c>
    </row>
    <row r="113" spans="1:17" ht="12.75" customHeight="1">
      <c r="A113" s="8" t="s">
        <v>75</v>
      </c>
      <c r="B113" s="54">
        <v>73.1</v>
      </c>
      <c r="C113" s="54">
        <v>31.7</v>
      </c>
      <c r="D113" s="54">
        <v>24.2</v>
      </c>
      <c r="E113" s="35">
        <f>SUM(B113:D113)</f>
        <v>129</v>
      </c>
      <c r="F113" s="54">
        <v>29.5</v>
      </c>
      <c r="G113" s="54">
        <v>32.1</v>
      </c>
      <c r="H113" s="54">
        <v>65.1</v>
      </c>
      <c r="I113" s="54">
        <f>SUM(F113:H113)</f>
        <v>126.69999999999999</v>
      </c>
      <c r="J113" s="54">
        <v>398.7</v>
      </c>
      <c r="K113" s="54">
        <v>500.1</v>
      </c>
      <c r="L113" s="54">
        <v>24.5</v>
      </c>
      <c r="M113" s="54">
        <f>SUM(J113:L113)</f>
        <v>923.3</v>
      </c>
      <c r="N113" s="35">
        <v>42.4</v>
      </c>
      <c r="O113" s="35">
        <v>48.3</v>
      </c>
      <c r="P113" s="35">
        <v>26.9</v>
      </c>
      <c r="Q113" s="54">
        <f>SUM(N113:P113)</f>
        <v>117.6</v>
      </c>
    </row>
    <row r="114" spans="1:17" ht="12.75" customHeight="1">
      <c r="A114" s="39" t="s">
        <v>48</v>
      </c>
      <c r="B114" s="56">
        <v>13236.409316</v>
      </c>
      <c r="C114" s="56">
        <f aca="true" t="shared" si="33" ref="C114:M114">SUM(C109:C113)</f>
        <v>15939.7</v>
      </c>
      <c r="D114" s="56">
        <f t="shared" si="33"/>
        <v>13401</v>
      </c>
      <c r="E114" s="56">
        <f t="shared" si="33"/>
        <v>42577.109316</v>
      </c>
      <c r="F114" s="56">
        <f t="shared" si="33"/>
        <v>14066.5</v>
      </c>
      <c r="G114" s="56">
        <f t="shared" si="33"/>
        <v>14863.800000000001</v>
      </c>
      <c r="H114" s="56">
        <f t="shared" si="33"/>
        <v>13116.1</v>
      </c>
      <c r="I114" s="56">
        <f t="shared" si="33"/>
        <v>42046.4</v>
      </c>
      <c r="J114" s="56">
        <f t="shared" si="33"/>
        <v>13500.6</v>
      </c>
      <c r="K114" s="56">
        <f t="shared" si="33"/>
        <v>14665.800000000001</v>
      </c>
      <c r="L114" s="56">
        <f t="shared" si="33"/>
        <v>14266.2</v>
      </c>
      <c r="M114" s="56">
        <f t="shared" si="33"/>
        <v>42432.600000000006</v>
      </c>
      <c r="N114" s="57">
        <f>SUM(N109:N113)</f>
        <v>14379</v>
      </c>
      <c r="O114" s="57">
        <f>SUM(O109:O113)</f>
        <v>13369.899999999998</v>
      </c>
      <c r="P114" s="57">
        <f>SUM(P109:P113)</f>
        <v>13632.199999999999</v>
      </c>
      <c r="Q114" s="57">
        <f>SUM(Q109:Q113)</f>
        <v>41381.1</v>
      </c>
    </row>
    <row r="115" spans="1:17" ht="12.75" customHeight="1">
      <c r="A115" s="75" t="s">
        <v>76</v>
      </c>
      <c r="B115" s="35">
        <v>2299.4</v>
      </c>
      <c r="C115" s="35">
        <f>1383.5+820.9</f>
        <v>2204.4</v>
      </c>
      <c r="D115" s="35">
        <f>14308.5+4470</f>
        <v>18778.5</v>
      </c>
      <c r="E115" s="35">
        <f aca="true" t="shared" si="34" ref="E115:E120">SUM(B115:D115)</f>
        <v>23282.3</v>
      </c>
      <c r="F115" s="35">
        <v>459.5</v>
      </c>
      <c r="G115" s="35">
        <v>1148.1</v>
      </c>
      <c r="H115" s="35">
        <v>22532.5</v>
      </c>
      <c r="I115" s="35">
        <f aca="true" t="shared" si="35" ref="I115:I120">SUM(F115:H115)</f>
        <v>24140.1</v>
      </c>
      <c r="J115" s="35">
        <v>3780.6</v>
      </c>
      <c r="K115" s="35">
        <v>3012.2</v>
      </c>
      <c r="L115" s="35">
        <v>23193.8</v>
      </c>
      <c r="M115" s="54">
        <f aca="true" t="shared" si="36" ref="M115:M120">SUM(J115:L115)</f>
        <v>29986.6</v>
      </c>
      <c r="N115" s="35">
        <v>837.7</v>
      </c>
      <c r="O115" s="35">
        <v>2750.3</v>
      </c>
      <c r="P115" s="35">
        <v>25738.8</v>
      </c>
      <c r="Q115" s="54">
        <f aca="true" t="shared" si="37" ref="Q115:Q120">SUM(N115:P115)</f>
        <v>29326.8</v>
      </c>
    </row>
    <row r="116" spans="1:17" ht="12.75" customHeight="1">
      <c r="A116" s="8" t="s">
        <v>77</v>
      </c>
      <c r="B116" s="38">
        <v>8292.5</v>
      </c>
      <c r="C116" s="38">
        <f>3927.7+1539.9+3195.7</f>
        <v>8663.3</v>
      </c>
      <c r="D116" s="38">
        <f>4370.3+730.8+5199.9</f>
        <v>10301</v>
      </c>
      <c r="E116" s="35">
        <f t="shared" si="34"/>
        <v>27256.8</v>
      </c>
      <c r="F116" s="38">
        <v>10957.6</v>
      </c>
      <c r="G116" s="35">
        <v>9611.5</v>
      </c>
      <c r="H116" s="38">
        <v>10274.1</v>
      </c>
      <c r="I116" s="38">
        <f t="shared" si="35"/>
        <v>30843.199999999997</v>
      </c>
      <c r="J116" s="38">
        <v>8883.8</v>
      </c>
      <c r="K116" s="38">
        <v>9971.5</v>
      </c>
      <c r="L116" s="38">
        <v>9578.3</v>
      </c>
      <c r="M116" s="54">
        <f t="shared" si="36"/>
        <v>28433.6</v>
      </c>
      <c r="N116" s="35">
        <v>9540.4</v>
      </c>
      <c r="O116" s="35">
        <v>10104.4</v>
      </c>
      <c r="P116" s="35">
        <v>10051.2</v>
      </c>
      <c r="Q116" s="54">
        <f t="shared" si="37"/>
        <v>29696</v>
      </c>
    </row>
    <row r="117" spans="1:17" ht="12.75" customHeight="1">
      <c r="A117" s="59" t="s">
        <v>94</v>
      </c>
      <c r="B117" s="38">
        <v>1368.6</v>
      </c>
      <c r="C117" s="38">
        <v>1448.5</v>
      </c>
      <c r="D117" s="38">
        <v>1965.7</v>
      </c>
      <c r="E117" s="35">
        <f t="shared" si="34"/>
        <v>4782.8</v>
      </c>
      <c r="F117" s="38">
        <v>1675.2</v>
      </c>
      <c r="G117" s="35">
        <v>1386.1</v>
      </c>
      <c r="H117" s="38">
        <v>2011.2</v>
      </c>
      <c r="I117" s="38">
        <f t="shared" si="35"/>
        <v>5072.5</v>
      </c>
      <c r="J117" s="38">
        <v>1274.9</v>
      </c>
      <c r="K117" s="38">
        <v>1592.7</v>
      </c>
      <c r="L117" s="38">
        <v>1688.9</v>
      </c>
      <c r="M117" s="54">
        <f t="shared" si="36"/>
        <v>4556.5</v>
      </c>
      <c r="N117" s="35">
        <v>1469.9</v>
      </c>
      <c r="O117" s="35">
        <v>1766.5</v>
      </c>
      <c r="P117" s="35">
        <v>1487.7</v>
      </c>
      <c r="Q117" s="54">
        <f t="shared" si="37"/>
        <v>4724.1</v>
      </c>
    </row>
    <row r="118" spans="1:17" ht="12.75">
      <c r="A118" s="8" t="s">
        <v>18</v>
      </c>
      <c r="B118" s="35">
        <v>16.2</v>
      </c>
      <c r="C118" s="35">
        <v>24.5</v>
      </c>
      <c r="D118" s="35">
        <v>23.2</v>
      </c>
      <c r="E118" s="35">
        <f t="shared" si="34"/>
        <v>63.900000000000006</v>
      </c>
      <c r="F118" s="35">
        <v>24.4</v>
      </c>
      <c r="G118" s="35">
        <v>15.6</v>
      </c>
      <c r="H118" s="35">
        <v>26.1</v>
      </c>
      <c r="I118" s="35">
        <f t="shared" si="35"/>
        <v>66.1</v>
      </c>
      <c r="J118" s="35">
        <v>24.9</v>
      </c>
      <c r="K118" s="35">
        <v>16.4</v>
      </c>
      <c r="L118" s="35">
        <v>24.4</v>
      </c>
      <c r="M118" s="54">
        <f t="shared" si="36"/>
        <v>65.69999999999999</v>
      </c>
      <c r="N118" s="35">
        <v>24.4</v>
      </c>
      <c r="O118" s="35">
        <v>24.1</v>
      </c>
      <c r="P118" s="35">
        <v>24.1</v>
      </c>
      <c r="Q118" s="54">
        <f t="shared" si="37"/>
        <v>72.6</v>
      </c>
    </row>
    <row r="119" spans="1:17" ht="12.75">
      <c r="A119" s="8" t="s">
        <v>17</v>
      </c>
      <c r="B119" s="35">
        <v>295.2</v>
      </c>
      <c r="C119" s="35">
        <v>436.1</v>
      </c>
      <c r="D119" s="35">
        <v>119.3</v>
      </c>
      <c r="E119" s="35">
        <f t="shared" si="34"/>
        <v>850.5999999999999</v>
      </c>
      <c r="F119" s="35">
        <v>178.7</v>
      </c>
      <c r="G119" s="35">
        <v>389.9</v>
      </c>
      <c r="H119" s="35">
        <v>168.1</v>
      </c>
      <c r="I119" s="35">
        <f t="shared" si="35"/>
        <v>736.6999999999999</v>
      </c>
      <c r="J119" s="35">
        <v>139.7</v>
      </c>
      <c r="K119" s="35">
        <v>290</v>
      </c>
      <c r="L119" s="35">
        <v>250.7</v>
      </c>
      <c r="M119" s="54">
        <f t="shared" si="36"/>
        <v>680.4</v>
      </c>
      <c r="N119" s="35">
        <v>205.2</v>
      </c>
      <c r="O119" s="35">
        <v>239.4</v>
      </c>
      <c r="P119" s="35">
        <v>285.4</v>
      </c>
      <c r="Q119" s="54">
        <f t="shared" si="37"/>
        <v>730</v>
      </c>
    </row>
    <row r="120" spans="1:17" ht="12.75">
      <c r="A120" s="8" t="s">
        <v>105</v>
      </c>
      <c r="B120" s="35">
        <v>1086.8</v>
      </c>
      <c r="C120" s="35">
        <f>212.5+1021.4+100.6+10.4+146.7+4.6+10.1</f>
        <v>1506.3</v>
      </c>
      <c r="D120" s="35">
        <f>-26717.7+32452.8-4470</f>
        <v>1265.0999999999985</v>
      </c>
      <c r="E120" s="35">
        <f t="shared" si="34"/>
        <v>3858.1999999999985</v>
      </c>
      <c r="F120" s="35">
        <v>3630.3</v>
      </c>
      <c r="G120" s="35">
        <v>2246.1</v>
      </c>
      <c r="H120" s="35">
        <v>1750.9</v>
      </c>
      <c r="I120" s="35">
        <f t="shared" si="35"/>
        <v>7627.299999999999</v>
      </c>
      <c r="J120" s="35">
        <v>2166.4</v>
      </c>
      <c r="K120" s="35">
        <v>1361.6</v>
      </c>
      <c r="L120" s="35">
        <v>2201.8</v>
      </c>
      <c r="M120" s="54">
        <f t="shared" si="36"/>
        <v>5729.8</v>
      </c>
      <c r="N120" s="35">
        <v>2621.7</v>
      </c>
      <c r="O120" s="35">
        <v>1384.8</v>
      </c>
      <c r="P120" s="35">
        <v>2739.2</v>
      </c>
      <c r="Q120" s="54">
        <f t="shared" si="37"/>
        <v>6745.7</v>
      </c>
    </row>
    <row r="121" spans="1:17" ht="12.75">
      <c r="A121" s="39" t="s">
        <v>48</v>
      </c>
      <c r="B121" s="62">
        <v>13358.7</v>
      </c>
      <c r="C121" s="62">
        <f aca="true" t="shared" si="38" ref="C121:M121">SUM(C115:C120)</f>
        <v>14283.099999999999</v>
      </c>
      <c r="D121" s="62">
        <f t="shared" si="38"/>
        <v>32452.8</v>
      </c>
      <c r="E121" s="62">
        <f t="shared" si="38"/>
        <v>60094.6</v>
      </c>
      <c r="F121" s="62">
        <f t="shared" si="38"/>
        <v>16925.7</v>
      </c>
      <c r="G121" s="62">
        <f t="shared" si="38"/>
        <v>14797.300000000001</v>
      </c>
      <c r="H121" s="62">
        <f t="shared" si="38"/>
        <v>36762.899999999994</v>
      </c>
      <c r="I121" s="62">
        <f t="shared" si="38"/>
        <v>68485.9</v>
      </c>
      <c r="J121" s="62">
        <f t="shared" si="38"/>
        <v>16270.3</v>
      </c>
      <c r="K121" s="62">
        <f t="shared" si="38"/>
        <v>16244.400000000001</v>
      </c>
      <c r="L121" s="62">
        <f t="shared" si="38"/>
        <v>36937.9</v>
      </c>
      <c r="M121" s="62">
        <f t="shared" si="38"/>
        <v>69452.59999999999</v>
      </c>
      <c r="N121" s="63">
        <f>SUM(N115:N120)</f>
        <v>14699.3</v>
      </c>
      <c r="O121" s="63">
        <f>SUM(O115:O120)</f>
        <v>16269.5</v>
      </c>
      <c r="P121" s="63">
        <f>SUM(P115:P120)</f>
        <v>40326.399999999994</v>
      </c>
      <c r="Q121" s="63">
        <f>SUM(Q115:Q120)</f>
        <v>71295.2</v>
      </c>
    </row>
    <row r="122" spans="1:17" ht="12.75">
      <c r="A122" s="17" t="s">
        <v>115</v>
      </c>
      <c r="B122" s="64">
        <v>33164.209316</v>
      </c>
      <c r="C122" s="64">
        <f aca="true" t="shared" si="39" ref="C122:M122">C121+C114+C107</f>
        <v>38825.3</v>
      </c>
      <c r="D122" s="64">
        <f t="shared" si="39"/>
        <v>54319.3</v>
      </c>
      <c r="E122" s="64">
        <f t="shared" si="39"/>
        <v>126308.809316</v>
      </c>
      <c r="F122" s="64">
        <f t="shared" si="39"/>
        <v>39651.4</v>
      </c>
      <c r="G122" s="64">
        <f t="shared" si="39"/>
        <v>39449.4</v>
      </c>
      <c r="H122" s="64">
        <f t="shared" si="39"/>
        <v>59040.799999999996</v>
      </c>
      <c r="I122" s="64">
        <f t="shared" si="39"/>
        <v>138141.59999999998</v>
      </c>
      <c r="J122" s="64">
        <f t="shared" si="39"/>
        <v>39385.2</v>
      </c>
      <c r="K122" s="64">
        <f t="shared" si="39"/>
        <v>40306.700000000004</v>
      </c>
      <c r="L122" s="64">
        <f t="shared" si="39"/>
        <v>59205.600000000006</v>
      </c>
      <c r="M122" s="64">
        <f t="shared" si="39"/>
        <v>138897.5</v>
      </c>
      <c r="N122" s="57">
        <f>N121+N114+N107</f>
        <v>38503.2</v>
      </c>
      <c r="O122" s="57">
        <f>O121+O114+O107</f>
        <v>38768.8</v>
      </c>
      <c r="P122" s="57">
        <f>P121+P114+P107</f>
        <v>62811.49999999999</v>
      </c>
      <c r="Q122" s="76">
        <f>Q121+Q114+Q107</f>
        <v>140083.5</v>
      </c>
    </row>
    <row r="123" spans="1:17" ht="12.75">
      <c r="A123" s="20" t="s">
        <v>104</v>
      </c>
      <c r="B123" s="77">
        <v>0</v>
      </c>
      <c r="C123" s="77">
        <v>479.8</v>
      </c>
      <c r="D123" s="78">
        <v>479.8</v>
      </c>
      <c r="E123" s="78">
        <f>SUM(B123:D123)</f>
        <v>959.6</v>
      </c>
      <c r="F123" s="78">
        <v>0</v>
      </c>
      <c r="G123" s="78">
        <v>479.8</v>
      </c>
      <c r="H123" s="78">
        <v>479.8</v>
      </c>
      <c r="I123" s="78">
        <f>SUM(F123:H123)</f>
        <v>959.6</v>
      </c>
      <c r="J123" s="78">
        <v>479.8</v>
      </c>
      <c r="K123" s="78">
        <v>479.8</v>
      </c>
      <c r="L123" s="78">
        <v>479.8</v>
      </c>
      <c r="M123" s="54">
        <f>SUM(J123:L123)</f>
        <v>1439.4</v>
      </c>
      <c r="N123" s="78">
        <v>479.8</v>
      </c>
      <c r="O123" s="78">
        <v>479.8</v>
      </c>
      <c r="P123" s="78">
        <v>479.8</v>
      </c>
      <c r="Q123" s="54">
        <f>SUM(N123:P123)</f>
        <v>1439.4</v>
      </c>
    </row>
    <row r="124" spans="1:17" ht="12.75">
      <c r="A124" s="17" t="s">
        <v>116</v>
      </c>
      <c r="B124" s="41">
        <v>33164.209316</v>
      </c>
      <c r="C124" s="41">
        <f aca="true" t="shared" si="40" ref="C124:M124">+C122-C123</f>
        <v>38345.5</v>
      </c>
      <c r="D124" s="41">
        <f t="shared" si="40"/>
        <v>53839.5</v>
      </c>
      <c r="E124" s="41">
        <f t="shared" si="40"/>
        <v>125349.209316</v>
      </c>
      <c r="F124" s="41">
        <f t="shared" si="40"/>
        <v>39651.4</v>
      </c>
      <c r="G124" s="41">
        <f t="shared" si="40"/>
        <v>38969.6</v>
      </c>
      <c r="H124" s="41">
        <f t="shared" si="40"/>
        <v>58560.99999999999</v>
      </c>
      <c r="I124" s="41">
        <f t="shared" si="40"/>
        <v>137181.99999999997</v>
      </c>
      <c r="J124" s="41">
        <f t="shared" si="40"/>
        <v>38905.399999999994</v>
      </c>
      <c r="K124" s="41">
        <f t="shared" si="40"/>
        <v>39826.9</v>
      </c>
      <c r="L124" s="41">
        <f t="shared" si="40"/>
        <v>58725.8</v>
      </c>
      <c r="M124" s="41">
        <f t="shared" si="40"/>
        <v>137458.1</v>
      </c>
      <c r="N124" s="42">
        <f>+N122-N123</f>
        <v>38023.399999999994</v>
      </c>
      <c r="O124" s="42">
        <f>+O122-O123</f>
        <v>38289</v>
      </c>
      <c r="P124" s="42">
        <f>+P122-P123</f>
        <v>62331.69999999999</v>
      </c>
      <c r="Q124" s="69">
        <f>+Q122-Q123</f>
        <v>138644.1</v>
      </c>
    </row>
    <row r="125" ht="15">
      <c r="A125" s="23" t="s">
        <v>113</v>
      </c>
    </row>
  </sheetData>
  <mergeCells count="20">
    <mergeCell ref="N2:Q2"/>
    <mergeCell ref="N30:Q30"/>
    <mergeCell ref="N68:Q68"/>
    <mergeCell ref="N99:Q99"/>
    <mergeCell ref="B2:E2"/>
    <mergeCell ref="F2:I2"/>
    <mergeCell ref="J2:M2"/>
    <mergeCell ref="B30:E30"/>
    <mergeCell ref="F30:I30"/>
    <mergeCell ref="J30:M30"/>
    <mergeCell ref="B68:E68"/>
    <mergeCell ref="F68:I68"/>
    <mergeCell ref="J68:M68"/>
    <mergeCell ref="B99:E99"/>
    <mergeCell ref="F99:I99"/>
    <mergeCell ref="J99:M99"/>
    <mergeCell ref="A30:A31"/>
    <mergeCell ref="A2:A3"/>
    <mergeCell ref="A68:A69"/>
    <mergeCell ref="A99:A100"/>
  </mergeCells>
  <printOptions horizontalCentered="1"/>
  <pageMargins left="0.35433070866141736" right="0.35433070866141736" top="1.0236220472440944" bottom="0.984251968503937" header="0.5118110236220472" footer="0.5118110236220472"/>
  <pageSetup horizontalDpi="600" verticalDpi="600" orientation="landscape" paperSize="9" scale="65" r:id="rId1"/>
  <headerFooter alignWithMargins="0">
    <oddHeader>&amp;C&amp;"Arial,Bold"&amp;12TANZANIA REVENUE AUTHORITY
Actual Revenue Collections (Quartely)  for 2004/05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tabSelected="1" view="pageBreakPreview" zoomScale="75" zoomScaleSheetLayoutView="75" workbookViewId="0" topLeftCell="A61">
      <selection activeCell="A68" sqref="A68"/>
    </sheetView>
  </sheetViews>
  <sheetFormatPr defaultColWidth="9.140625" defaultRowHeight="12.75"/>
  <cols>
    <col min="1" max="1" width="33.8515625" style="3" customWidth="1"/>
    <col min="2" max="3" width="10.7109375" style="3" customWidth="1"/>
    <col min="4" max="4" width="12.140625" style="3" customWidth="1"/>
    <col min="5" max="5" width="11.57421875" style="3" customWidth="1"/>
    <col min="6" max="8" width="10.7109375" style="3" customWidth="1"/>
    <col min="9" max="9" width="11.7109375" style="3" customWidth="1"/>
    <col min="10" max="12" width="10.7109375" style="3" customWidth="1"/>
    <col min="13" max="13" width="11.8515625" style="3" customWidth="1"/>
    <col min="14" max="16" width="11.7109375" style="3" customWidth="1"/>
    <col min="17" max="17" width="13.00390625" style="3" customWidth="1"/>
    <col min="18" max="16384" width="9.140625" style="3" customWidth="1"/>
  </cols>
  <sheetData>
    <row r="1" spans="1:17" ht="12.75">
      <c r="A1" s="106" t="s">
        <v>59</v>
      </c>
      <c r="Q1" s="4" t="s">
        <v>114</v>
      </c>
    </row>
    <row r="2" spans="1:17" ht="12.75" customHeight="1">
      <c r="A2" s="79" t="s">
        <v>19</v>
      </c>
      <c r="B2" s="6" t="s">
        <v>8</v>
      </c>
      <c r="C2" s="6"/>
      <c r="D2" s="6"/>
      <c r="E2" s="6"/>
      <c r="F2" s="6" t="s">
        <v>82</v>
      </c>
      <c r="G2" s="6"/>
      <c r="H2" s="6"/>
      <c r="I2" s="6"/>
      <c r="J2" s="6" t="s">
        <v>86</v>
      </c>
      <c r="K2" s="6"/>
      <c r="L2" s="6"/>
      <c r="M2" s="6"/>
      <c r="N2" s="6" t="s">
        <v>108</v>
      </c>
      <c r="O2" s="6"/>
      <c r="P2" s="6"/>
      <c r="Q2" s="6"/>
    </row>
    <row r="3" spans="1:17" s="80" customFormat="1" ht="12.75" customHeight="1">
      <c r="A3" s="79"/>
      <c r="B3" s="7" t="s">
        <v>5</v>
      </c>
      <c r="C3" s="7" t="s">
        <v>6</v>
      </c>
      <c r="D3" s="7" t="s">
        <v>7</v>
      </c>
      <c r="E3" s="7" t="s">
        <v>107</v>
      </c>
      <c r="F3" s="7" t="s">
        <v>79</v>
      </c>
      <c r="G3" s="7" t="s">
        <v>80</v>
      </c>
      <c r="H3" s="7" t="s">
        <v>81</v>
      </c>
      <c r="I3" s="7" t="s">
        <v>107</v>
      </c>
      <c r="J3" s="7" t="s">
        <v>83</v>
      </c>
      <c r="K3" s="7" t="s">
        <v>84</v>
      </c>
      <c r="L3" s="7" t="s">
        <v>85</v>
      </c>
      <c r="M3" s="7" t="s">
        <v>107</v>
      </c>
      <c r="N3" s="7" t="s">
        <v>109</v>
      </c>
      <c r="O3" s="7" t="s">
        <v>110</v>
      </c>
      <c r="P3" s="7" t="s">
        <v>111</v>
      </c>
      <c r="Q3" s="7" t="s">
        <v>107</v>
      </c>
    </row>
    <row r="4" spans="1:17" ht="12.75">
      <c r="A4" s="8" t="s">
        <v>101</v>
      </c>
      <c r="B4" s="54">
        <v>7847</v>
      </c>
      <c r="C4" s="54">
        <f>7926.6</f>
        <v>7926.6</v>
      </c>
      <c r="D4" s="54">
        <v>10777.8</v>
      </c>
      <c r="E4" s="54">
        <f>SUM(B4:D4)</f>
        <v>26551.4</v>
      </c>
      <c r="F4" s="54">
        <v>8491.4</v>
      </c>
      <c r="G4" s="35">
        <v>8550.3</v>
      </c>
      <c r="H4" s="54">
        <v>11958.9</v>
      </c>
      <c r="I4" s="54">
        <f>SUM(F4:H4)</f>
        <v>29000.6</v>
      </c>
      <c r="J4" s="54">
        <v>8967.8</v>
      </c>
      <c r="K4" s="54">
        <v>8476.6</v>
      </c>
      <c r="L4" s="54">
        <v>11305.2</v>
      </c>
      <c r="M4" s="22">
        <f>SUM(J4:L4)</f>
        <v>28749.600000000002</v>
      </c>
      <c r="N4" s="54">
        <v>8603.7</v>
      </c>
      <c r="O4" s="54">
        <v>9477.6</v>
      </c>
      <c r="P4" s="54">
        <v>13892.7</v>
      </c>
      <c r="Q4" s="22">
        <f>SUM(N4:P4)</f>
        <v>31974.000000000004</v>
      </c>
    </row>
    <row r="5" spans="1:17" ht="12.75">
      <c r="A5" s="36" t="s">
        <v>20</v>
      </c>
      <c r="B5" s="38">
        <v>1820.4</v>
      </c>
      <c r="C5" s="38">
        <v>1640.3</v>
      </c>
      <c r="D5" s="38">
        <v>2758.5</v>
      </c>
      <c r="E5" s="54">
        <f aca="true" t="shared" si="0" ref="E5:E23">SUM(B5:D5)</f>
        <v>6219.2</v>
      </c>
      <c r="F5" s="38">
        <v>1630.1</v>
      </c>
      <c r="G5" s="35">
        <v>1597.1</v>
      </c>
      <c r="H5" s="38">
        <v>2849.6</v>
      </c>
      <c r="I5" s="54">
        <f aca="true" t="shared" si="1" ref="I5:I23">SUM(F5:H5)</f>
        <v>6076.799999999999</v>
      </c>
      <c r="J5" s="38">
        <v>1324.9</v>
      </c>
      <c r="K5" s="38">
        <v>1441.7</v>
      </c>
      <c r="L5" s="38">
        <v>2684.4</v>
      </c>
      <c r="M5" s="22">
        <f aca="true" t="shared" si="2" ref="M5:M23">SUM(J5:L5)</f>
        <v>5451</v>
      </c>
      <c r="N5" s="54">
        <v>1461.8</v>
      </c>
      <c r="O5" s="54">
        <v>1560.8</v>
      </c>
      <c r="P5" s="54">
        <v>2778.8</v>
      </c>
      <c r="Q5" s="22">
        <f aca="true" t="shared" si="3" ref="Q5:Q23">SUM(N5:P5)</f>
        <v>5801.4</v>
      </c>
    </row>
    <row r="6" spans="1:17" ht="12.75">
      <c r="A6" s="8" t="s">
        <v>21</v>
      </c>
      <c r="B6" s="38">
        <v>75</v>
      </c>
      <c r="C6" s="38">
        <v>70.4</v>
      </c>
      <c r="D6" s="38">
        <v>99.4</v>
      </c>
      <c r="E6" s="54">
        <f t="shared" si="0"/>
        <v>244.8</v>
      </c>
      <c r="F6" s="38">
        <v>96.5</v>
      </c>
      <c r="G6" s="35">
        <v>108.7</v>
      </c>
      <c r="H6" s="38">
        <v>114.8</v>
      </c>
      <c r="I6" s="54">
        <f t="shared" si="1"/>
        <v>320</v>
      </c>
      <c r="J6" s="38">
        <v>75.1</v>
      </c>
      <c r="K6" s="38">
        <v>92</v>
      </c>
      <c r="L6" s="38">
        <v>168.2</v>
      </c>
      <c r="M6" s="22">
        <f t="shared" si="2"/>
        <v>335.29999999999995</v>
      </c>
      <c r="N6" s="54">
        <v>114.5</v>
      </c>
      <c r="O6" s="54">
        <v>90.3</v>
      </c>
      <c r="P6" s="54">
        <v>148.1</v>
      </c>
      <c r="Q6" s="22">
        <f t="shared" si="3"/>
        <v>352.9</v>
      </c>
    </row>
    <row r="7" spans="1:17" ht="12.75">
      <c r="A7" s="36" t="s">
        <v>22</v>
      </c>
      <c r="B7" s="38">
        <v>193</v>
      </c>
      <c r="C7" s="38">
        <v>179.1</v>
      </c>
      <c r="D7" s="38">
        <v>330.6</v>
      </c>
      <c r="E7" s="54">
        <f t="shared" si="0"/>
        <v>702.7</v>
      </c>
      <c r="F7" s="38">
        <v>219.4</v>
      </c>
      <c r="G7" s="35">
        <v>214.9</v>
      </c>
      <c r="H7" s="38">
        <v>364.8</v>
      </c>
      <c r="I7" s="54">
        <f t="shared" si="1"/>
        <v>799.1</v>
      </c>
      <c r="J7" s="38">
        <v>166.2</v>
      </c>
      <c r="K7" s="38">
        <v>139.5</v>
      </c>
      <c r="L7" s="38">
        <v>437.9</v>
      </c>
      <c r="M7" s="22">
        <f t="shared" si="2"/>
        <v>743.5999999999999</v>
      </c>
      <c r="N7" s="54">
        <v>192.4</v>
      </c>
      <c r="O7" s="54">
        <v>269.2</v>
      </c>
      <c r="P7" s="54">
        <v>385.4</v>
      </c>
      <c r="Q7" s="22">
        <f t="shared" si="3"/>
        <v>847</v>
      </c>
    </row>
    <row r="8" spans="1:17" ht="12.75">
      <c r="A8" s="8" t="s">
        <v>23</v>
      </c>
      <c r="B8" s="38">
        <v>289.4</v>
      </c>
      <c r="C8" s="38">
        <v>200.6</v>
      </c>
      <c r="D8" s="38">
        <v>483</v>
      </c>
      <c r="E8" s="54">
        <f t="shared" si="0"/>
        <v>973</v>
      </c>
      <c r="F8" s="38">
        <v>182.7</v>
      </c>
      <c r="G8" s="35">
        <v>181.4</v>
      </c>
      <c r="H8" s="38">
        <v>473.4</v>
      </c>
      <c r="I8" s="54">
        <f t="shared" si="1"/>
        <v>837.5</v>
      </c>
      <c r="J8" s="38">
        <v>194.6</v>
      </c>
      <c r="K8" s="38">
        <v>199.1</v>
      </c>
      <c r="L8" s="38">
        <v>592.7</v>
      </c>
      <c r="M8" s="22">
        <f t="shared" si="2"/>
        <v>986.4000000000001</v>
      </c>
      <c r="N8" s="54">
        <v>281.5</v>
      </c>
      <c r="O8" s="54">
        <v>278.6</v>
      </c>
      <c r="P8" s="54">
        <v>573.8</v>
      </c>
      <c r="Q8" s="22">
        <f t="shared" si="3"/>
        <v>1133.9</v>
      </c>
    </row>
    <row r="9" spans="1:17" ht="12.75">
      <c r="A9" s="8" t="s">
        <v>24</v>
      </c>
      <c r="B9" s="38">
        <v>136.99007591999998</v>
      </c>
      <c r="C9" s="38">
        <v>169.7</v>
      </c>
      <c r="D9" s="38">
        <v>203.2</v>
      </c>
      <c r="E9" s="54">
        <f t="shared" si="0"/>
        <v>509.89007591999996</v>
      </c>
      <c r="F9" s="38">
        <v>468.1</v>
      </c>
      <c r="G9" s="35">
        <v>230.6</v>
      </c>
      <c r="H9" s="38">
        <v>393.5</v>
      </c>
      <c r="I9" s="54">
        <f t="shared" si="1"/>
        <v>1092.2</v>
      </c>
      <c r="J9" s="38">
        <v>284.2</v>
      </c>
      <c r="K9" s="38">
        <v>154.4</v>
      </c>
      <c r="L9" s="38">
        <v>349.1</v>
      </c>
      <c r="M9" s="22">
        <f t="shared" si="2"/>
        <v>787.7</v>
      </c>
      <c r="N9" s="54">
        <v>571.9</v>
      </c>
      <c r="O9" s="54">
        <v>199.2</v>
      </c>
      <c r="P9" s="54">
        <v>461.8</v>
      </c>
      <c r="Q9" s="22">
        <f t="shared" si="3"/>
        <v>1232.8999999999999</v>
      </c>
    </row>
    <row r="10" spans="1:17" ht="12.75">
      <c r="A10" s="36" t="s">
        <v>25</v>
      </c>
      <c r="B10" s="38">
        <v>58.7</v>
      </c>
      <c r="C10" s="38">
        <v>51.6</v>
      </c>
      <c r="D10" s="38">
        <v>90.7</v>
      </c>
      <c r="E10" s="54">
        <f t="shared" si="0"/>
        <v>201</v>
      </c>
      <c r="F10" s="38">
        <v>56.6</v>
      </c>
      <c r="G10" s="35">
        <v>86</v>
      </c>
      <c r="H10" s="38">
        <v>114.9</v>
      </c>
      <c r="I10" s="54">
        <f t="shared" si="1"/>
        <v>257.5</v>
      </c>
      <c r="J10" s="38">
        <v>49.3</v>
      </c>
      <c r="K10" s="38">
        <v>77.2</v>
      </c>
      <c r="L10" s="38">
        <v>192</v>
      </c>
      <c r="M10" s="22">
        <f t="shared" si="2"/>
        <v>318.5</v>
      </c>
      <c r="N10" s="54">
        <v>81.7</v>
      </c>
      <c r="O10" s="54">
        <v>117</v>
      </c>
      <c r="P10" s="54">
        <v>151.2</v>
      </c>
      <c r="Q10" s="22">
        <f t="shared" si="3"/>
        <v>349.9</v>
      </c>
    </row>
    <row r="11" spans="1:17" ht="12.75">
      <c r="A11" s="8" t="s">
        <v>26</v>
      </c>
      <c r="B11" s="38">
        <v>571.2</v>
      </c>
      <c r="C11" s="38">
        <v>527.4</v>
      </c>
      <c r="D11" s="38">
        <v>923.2</v>
      </c>
      <c r="E11" s="54">
        <f t="shared" si="0"/>
        <v>2021.8</v>
      </c>
      <c r="F11" s="38">
        <v>402.8</v>
      </c>
      <c r="G11" s="35">
        <v>494.1</v>
      </c>
      <c r="H11" s="38">
        <v>1086.4</v>
      </c>
      <c r="I11" s="54">
        <f t="shared" si="1"/>
        <v>1983.3000000000002</v>
      </c>
      <c r="J11" s="38">
        <v>583.7</v>
      </c>
      <c r="K11" s="38">
        <v>575.4</v>
      </c>
      <c r="L11" s="38">
        <v>996.8</v>
      </c>
      <c r="M11" s="22">
        <f t="shared" si="2"/>
        <v>2155.8999999999996</v>
      </c>
      <c r="N11" s="54">
        <v>560.6</v>
      </c>
      <c r="O11" s="54">
        <v>554.7</v>
      </c>
      <c r="P11" s="54">
        <v>947.6</v>
      </c>
      <c r="Q11" s="22">
        <f t="shared" si="3"/>
        <v>2062.9</v>
      </c>
    </row>
    <row r="12" spans="1:17" ht="12.75">
      <c r="A12" s="8" t="s">
        <v>27</v>
      </c>
      <c r="B12" s="38">
        <v>21.3</v>
      </c>
      <c r="C12" s="38">
        <v>26.6</v>
      </c>
      <c r="D12" s="38">
        <v>44.7</v>
      </c>
      <c r="E12" s="54">
        <f t="shared" si="0"/>
        <v>92.60000000000001</v>
      </c>
      <c r="F12" s="38">
        <v>27.2</v>
      </c>
      <c r="G12" s="38">
        <v>33.2</v>
      </c>
      <c r="H12" s="38">
        <v>54.2</v>
      </c>
      <c r="I12" s="54">
        <f t="shared" si="1"/>
        <v>114.60000000000001</v>
      </c>
      <c r="J12" s="38">
        <v>24.3</v>
      </c>
      <c r="K12" s="38">
        <v>14.6</v>
      </c>
      <c r="L12" s="38">
        <v>60.2</v>
      </c>
      <c r="M12" s="22">
        <f t="shared" si="2"/>
        <v>99.1</v>
      </c>
      <c r="N12" s="54">
        <v>21.4</v>
      </c>
      <c r="O12" s="54">
        <v>27.5</v>
      </c>
      <c r="P12" s="54">
        <v>58.6</v>
      </c>
      <c r="Q12" s="22">
        <f t="shared" si="3"/>
        <v>107.5</v>
      </c>
    </row>
    <row r="13" spans="1:17" ht="12.75">
      <c r="A13" s="8" t="s">
        <v>28</v>
      </c>
      <c r="B13" s="38">
        <v>718.1</v>
      </c>
      <c r="C13" s="38">
        <v>560.6</v>
      </c>
      <c r="D13" s="38">
        <v>605.5</v>
      </c>
      <c r="E13" s="54">
        <f t="shared" si="0"/>
        <v>1884.2</v>
      </c>
      <c r="F13" s="38">
        <v>563.7</v>
      </c>
      <c r="G13" s="38">
        <v>697.4</v>
      </c>
      <c r="H13" s="38">
        <v>681.7</v>
      </c>
      <c r="I13" s="54">
        <f t="shared" si="1"/>
        <v>1942.8</v>
      </c>
      <c r="J13" s="38">
        <v>423.3</v>
      </c>
      <c r="K13" s="38">
        <v>664.3</v>
      </c>
      <c r="L13" s="38">
        <v>662.6</v>
      </c>
      <c r="M13" s="22">
        <f t="shared" si="2"/>
        <v>1750.1999999999998</v>
      </c>
      <c r="N13" s="54">
        <v>814.3</v>
      </c>
      <c r="O13" s="54">
        <v>660.9</v>
      </c>
      <c r="P13" s="54">
        <v>644.6</v>
      </c>
      <c r="Q13" s="22">
        <f t="shared" si="3"/>
        <v>2119.7999999999997</v>
      </c>
    </row>
    <row r="14" spans="1:17" ht="12.75">
      <c r="A14" s="8" t="s">
        <v>29</v>
      </c>
      <c r="B14" s="38">
        <v>298.6</v>
      </c>
      <c r="C14" s="38">
        <v>380.1</v>
      </c>
      <c r="D14" s="38">
        <v>579.3</v>
      </c>
      <c r="E14" s="54">
        <f t="shared" si="0"/>
        <v>1258</v>
      </c>
      <c r="F14" s="38">
        <v>471.7</v>
      </c>
      <c r="G14" s="35">
        <v>464.5</v>
      </c>
      <c r="H14" s="38">
        <v>1072.1</v>
      </c>
      <c r="I14" s="54">
        <f t="shared" si="1"/>
        <v>2008.3</v>
      </c>
      <c r="J14" s="38">
        <v>515.2</v>
      </c>
      <c r="K14" s="38">
        <v>451</v>
      </c>
      <c r="L14" s="38">
        <v>1509.7</v>
      </c>
      <c r="M14" s="22">
        <f t="shared" si="2"/>
        <v>2475.9</v>
      </c>
      <c r="N14" s="54">
        <v>498.6</v>
      </c>
      <c r="O14" s="54">
        <v>435</v>
      </c>
      <c r="P14" s="54">
        <v>867</v>
      </c>
      <c r="Q14" s="22">
        <f t="shared" si="3"/>
        <v>1800.6</v>
      </c>
    </row>
    <row r="15" spans="1:17" ht="12.75">
      <c r="A15" s="8" t="s">
        <v>30</v>
      </c>
      <c r="B15" s="38">
        <v>579.4</v>
      </c>
      <c r="C15" s="38">
        <v>834.2</v>
      </c>
      <c r="D15" s="38">
        <v>1172.3</v>
      </c>
      <c r="E15" s="54">
        <f t="shared" si="0"/>
        <v>2585.8999999999996</v>
      </c>
      <c r="F15" s="38">
        <v>766.4</v>
      </c>
      <c r="G15" s="38">
        <v>668.3</v>
      </c>
      <c r="H15" s="38">
        <v>1438.1</v>
      </c>
      <c r="I15" s="54">
        <f t="shared" si="1"/>
        <v>2872.7999999999997</v>
      </c>
      <c r="J15" s="38">
        <v>1006.6</v>
      </c>
      <c r="K15" s="38">
        <v>745.2</v>
      </c>
      <c r="L15" s="38">
        <v>1246.4</v>
      </c>
      <c r="M15" s="22">
        <f t="shared" si="2"/>
        <v>2998.2000000000003</v>
      </c>
      <c r="N15" s="54">
        <v>790.5</v>
      </c>
      <c r="O15" s="54">
        <v>600.5</v>
      </c>
      <c r="P15" s="54">
        <v>1034.2</v>
      </c>
      <c r="Q15" s="22">
        <f t="shared" si="3"/>
        <v>2425.2</v>
      </c>
    </row>
    <row r="16" spans="1:17" ht="12.75">
      <c r="A16" s="8" t="s">
        <v>31</v>
      </c>
      <c r="B16" s="38">
        <v>76.8</v>
      </c>
      <c r="C16" s="38">
        <v>83.8</v>
      </c>
      <c r="D16" s="38">
        <v>193.3</v>
      </c>
      <c r="E16" s="54">
        <f t="shared" si="0"/>
        <v>353.9</v>
      </c>
      <c r="F16" s="38">
        <v>105.3</v>
      </c>
      <c r="G16" s="35">
        <v>181.5</v>
      </c>
      <c r="H16" s="38">
        <v>297.9</v>
      </c>
      <c r="I16" s="54">
        <f t="shared" si="1"/>
        <v>584.7</v>
      </c>
      <c r="J16" s="38">
        <v>110.5</v>
      </c>
      <c r="K16" s="38">
        <v>82.7</v>
      </c>
      <c r="L16" s="38">
        <v>225.8</v>
      </c>
      <c r="M16" s="22">
        <f t="shared" si="2"/>
        <v>419</v>
      </c>
      <c r="N16" s="54">
        <v>90.8</v>
      </c>
      <c r="O16" s="54">
        <v>90.7</v>
      </c>
      <c r="P16" s="54">
        <v>285.4</v>
      </c>
      <c r="Q16" s="22">
        <f t="shared" si="3"/>
        <v>466.9</v>
      </c>
    </row>
    <row r="17" spans="1:17" ht="12.75">
      <c r="A17" s="13" t="s">
        <v>32</v>
      </c>
      <c r="B17" s="38">
        <v>1055.6</v>
      </c>
      <c r="C17" s="38">
        <v>1306.3</v>
      </c>
      <c r="D17" s="38">
        <v>1891.8</v>
      </c>
      <c r="E17" s="54">
        <f t="shared" si="0"/>
        <v>4253.7</v>
      </c>
      <c r="F17" s="38">
        <v>1363.5</v>
      </c>
      <c r="G17" s="35">
        <v>1344.9</v>
      </c>
      <c r="H17" s="38">
        <v>1911.3</v>
      </c>
      <c r="I17" s="54">
        <f t="shared" si="1"/>
        <v>4619.7</v>
      </c>
      <c r="J17" s="38">
        <v>1389.9</v>
      </c>
      <c r="K17" s="38">
        <v>1295.4</v>
      </c>
      <c r="L17" s="38">
        <v>1994.2</v>
      </c>
      <c r="M17" s="22">
        <f t="shared" si="2"/>
        <v>4679.5</v>
      </c>
      <c r="N17" s="54">
        <v>1381.4</v>
      </c>
      <c r="O17" s="54">
        <v>1335</v>
      </c>
      <c r="P17" s="54">
        <v>2099.1</v>
      </c>
      <c r="Q17" s="22">
        <f t="shared" si="3"/>
        <v>4815.5</v>
      </c>
    </row>
    <row r="18" spans="1:17" ht="12.75">
      <c r="A18" s="8" t="s">
        <v>33</v>
      </c>
      <c r="B18" s="38">
        <v>46.1</v>
      </c>
      <c r="C18" s="38">
        <v>60.2</v>
      </c>
      <c r="D18" s="38">
        <v>121.3</v>
      </c>
      <c r="E18" s="54">
        <f t="shared" si="0"/>
        <v>227.60000000000002</v>
      </c>
      <c r="F18" s="38">
        <v>65.7</v>
      </c>
      <c r="G18" s="38">
        <v>72.8</v>
      </c>
      <c r="H18" s="38">
        <v>146.7</v>
      </c>
      <c r="I18" s="54">
        <f t="shared" si="1"/>
        <v>285.2</v>
      </c>
      <c r="J18" s="38">
        <v>62.5</v>
      </c>
      <c r="K18" s="38">
        <v>47</v>
      </c>
      <c r="L18" s="38">
        <v>155.1</v>
      </c>
      <c r="M18" s="22">
        <f t="shared" si="2"/>
        <v>264.6</v>
      </c>
      <c r="N18" s="54">
        <v>58.9</v>
      </c>
      <c r="O18" s="54">
        <v>66.2</v>
      </c>
      <c r="P18" s="54">
        <v>141.2</v>
      </c>
      <c r="Q18" s="22">
        <f t="shared" si="3"/>
        <v>266.29999999999995</v>
      </c>
    </row>
    <row r="19" spans="1:17" ht="12.75">
      <c r="A19" s="8" t="s">
        <v>34</v>
      </c>
      <c r="B19" s="38">
        <v>930.1</v>
      </c>
      <c r="C19" s="38">
        <v>1587.3</v>
      </c>
      <c r="D19" s="38">
        <v>1298.3</v>
      </c>
      <c r="E19" s="54">
        <f t="shared" si="0"/>
        <v>3815.7</v>
      </c>
      <c r="F19" s="38">
        <v>1320.9</v>
      </c>
      <c r="G19" s="35">
        <v>1330.6</v>
      </c>
      <c r="H19" s="38">
        <v>1802</v>
      </c>
      <c r="I19" s="54">
        <f t="shared" si="1"/>
        <v>4453.5</v>
      </c>
      <c r="J19" s="38">
        <v>1471.9</v>
      </c>
      <c r="K19" s="38">
        <v>1297.1</v>
      </c>
      <c r="L19" s="38">
        <v>1285.7</v>
      </c>
      <c r="M19" s="22">
        <f t="shared" si="2"/>
        <v>4054.7</v>
      </c>
      <c r="N19" s="54">
        <v>1370</v>
      </c>
      <c r="O19" s="54">
        <v>1202</v>
      </c>
      <c r="P19" s="54">
        <v>2008.9</v>
      </c>
      <c r="Q19" s="22">
        <f t="shared" si="3"/>
        <v>4580.9</v>
      </c>
    </row>
    <row r="20" spans="1:17" ht="12.75">
      <c r="A20" s="13" t="s">
        <v>35</v>
      </c>
      <c r="B20" s="38">
        <v>39.9</v>
      </c>
      <c r="C20" s="38">
        <f>35.8-0.2</f>
        <v>35.599999999999994</v>
      </c>
      <c r="D20" s="38">
        <v>51.2</v>
      </c>
      <c r="E20" s="54">
        <f t="shared" si="0"/>
        <v>126.7</v>
      </c>
      <c r="F20" s="38">
        <v>26.9</v>
      </c>
      <c r="G20" s="35">
        <v>37.2</v>
      </c>
      <c r="H20" s="38">
        <v>63.7</v>
      </c>
      <c r="I20" s="54">
        <f t="shared" si="1"/>
        <v>127.8</v>
      </c>
      <c r="J20" s="38">
        <v>31.7</v>
      </c>
      <c r="K20" s="38">
        <v>36</v>
      </c>
      <c r="L20" s="38">
        <v>63.5</v>
      </c>
      <c r="M20" s="22">
        <f t="shared" si="2"/>
        <v>131.2</v>
      </c>
      <c r="N20" s="54">
        <v>38.3</v>
      </c>
      <c r="O20" s="54">
        <v>31.9</v>
      </c>
      <c r="P20" s="54">
        <v>80.5</v>
      </c>
      <c r="Q20" s="22">
        <f t="shared" si="3"/>
        <v>150.7</v>
      </c>
    </row>
    <row r="21" spans="1:17" ht="12.75">
      <c r="A21" s="13" t="s">
        <v>36</v>
      </c>
      <c r="B21" s="38">
        <v>298.4</v>
      </c>
      <c r="C21" s="38">
        <v>326.1</v>
      </c>
      <c r="D21" s="38">
        <v>400.9</v>
      </c>
      <c r="E21" s="54">
        <f t="shared" si="0"/>
        <v>1025.4</v>
      </c>
      <c r="F21" s="38">
        <v>311.4</v>
      </c>
      <c r="G21" s="35">
        <v>239.7</v>
      </c>
      <c r="H21" s="38">
        <v>382.9</v>
      </c>
      <c r="I21" s="54">
        <f t="shared" si="1"/>
        <v>933.9999999999999</v>
      </c>
      <c r="J21" s="38">
        <v>425.4</v>
      </c>
      <c r="K21" s="38">
        <v>271.6</v>
      </c>
      <c r="L21" s="38">
        <v>513.6</v>
      </c>
      <c r="M21" s="22">
        <f t="shared" si="2"/>
        <v>1210.6</v>
      </c>
      <c r="N21" s="54">
        <v>280.8</v>
      </c>
      <c r="O21" s="54">
        <v>313.4</v>
      </c>
      <c r="P21" s="54">
        <v>578.2</v>
      </c>
      <c r="Q21" s="22">
        <f t="shared" si="3"/>
        <v>1172.4</v>
      </c>
    </row>
    <row r="22" spans="1:17" ht="14.25" customHeight="1">
      <c r="A22" s="8" t="s">
        <v>37</v>
      </c>
      <c r="B22" s="38">
        <v>512.2</v>
      </c>
      <c r="C22" s="38">
        <v>559.6</v>
      </c>
      <c r="D22" s="38">
        <v>1200.3</v>
      </c>
      <c r="E22" s="54">
        <f t="shared" si="0"/>
        <v>2272.1000000000004</v>
      </c>
      <c r="F22" s="38">
        <v>566.6</v>
      </c>
      <c r="G22" s="35">
        <v>658.2</v>
      </c>
      <c r="H22" s="38">
        <v>1259.6</v>
      </c>
      <c r="I22" s="54">
        <f t="shared" si="1"/>
        <v>2484.4</v>
      </c>
      <c r="J22" s="38">
        <v>625.4</v>
      </c>
      <c r="K22" s="38">
        <v>564.8</v>
      </c>
      <c r="L22" s="38">
        <v>1265.7</v>
      </c>
      <c r="M22" s="22">
        <f t="shared" si="2"/>
        <v>2455.8999999999996</v>
      </c>
      <c r="N22" s="54">
        <v>573.1</v>
      </c>
      <c r="O22" s="54">
        <v>511.9</v>
      </c>
      <c r="P22" s="54">
        <v>1211.5</v>
      </c>
      <c r="Q22" s="22">
        <f t="shared" si="3"/>
        <v>2296.5</v>
      </c>
    </row>
    <row r="23" spans="1:17" ht="12.75">
      <c r="A23" s="8" t="s">
        <v>38</v>
      </c>
      <c r="B23" s="38">
        <v>25.1</v>
      </c>
      <c r="C23" s="38">
        <v>44.5</v>
      </c>
      <c r="D23" s="38">
        <v>105.2</v>
      </c>
      <c r="E23" s="54">
        <f t="shared" si="0"/>
        <v>174.8</v>
      </c>
      <c r="F23" s="38">
        <v>51.2</v>
      </c>
      <c r="G23" s="38">
        <v>28.9</v>
      </c>
      <c r="H23" s="38">
        <v>110.3</v>
      </c>
      <c r="I23" s="54">
        <f t="shared" si="1"/>
        <v>190.39999999999998</v>
      </c>
      <c r="J23" s="38">
        <v>35.2</v>
      </c>
      <c r="K23" s="38">
        <v>40.7</v>
      </c>
      <c r="L23" s="38">
        <v>101.3</v>
      </c>
      <c r="M23" s="22">
        <f t="shared" si="2"/>
        <v>177.2</v>
      </c>
      <c r="N23" s="54">
        <v>38.2</v>
      </c>
      <c r="O23" s="54">
        <v>54.3</v>
      </c>
      <c r="P23" s="54">
        <v>117.1</v>
      </c>
      <c r="Q23" s="22">
        <f t="shared" si="3"/>
        <v>209.6</v>
      </c>
    </row>
    <row r="24" spans="1:17" ht="12.75">
      <c r="A24" s="17" t="s">
        <v>115</v>
      </c>
      <c r="B24" s="81">
        <f aca="true" t="shared" si="4" ref="B24:M24">SUM(B4:B23)</f>
        <v>15593.29007592</v>
      </c>
      <c r="C24" s="81">
        <f t="shared" si="4"/>
        <v>16570.600000000002</v>
      </c>
      <c r="D24" s="81">
        <f t="shared" si="4"/>
        <v>23330.5</v>
      </c>
      <c r="E24" s="81">
        <f t="shared" si="4"/>
        <v>55494.39007591999</v>
      </c>
      <c r="F24" s="81">
        <f t="shared" si="4"/>
        <v>17188.100000000002</v>
      </c>
      <c r="G24" s="81">
        <f t="shared" si="4"/>
        <v>17220.300000000003</v>
      </c>
      <c r="H24" s="81">
        <f t="shared" si="4"/>
        <v>26576.8</v>
      </c>
      <c r="I24" s="81">
        <f t="shared" si="4"/>
        <v>60985.2</v>
      </c>
      <c r="J24" s="81">
        <f t="shared" si="4"/>
        <v>17767.700000000004</v>
      </c>
      <c r="K24" s="81">
        <f t="shared" si="4"/>
        <v>16666.300000000003</v>
      </c>
      <c r="L24" s="81">
        <f t="shared" si="4"/>
        <v>25810.100000000002</v>
      </c>
      <c r="M24" s="81">
        <f t="shared" si="4"/>
        <v>60244.09999999999</v>
      </c>
      <c r="N24" s="81">
        <f>SUM(N4:N23)</f>
        <v>17824.399999999998</v>
      </c>
      <c r="O24" s="81">
        <f>SUM(O4:O23)</f>
        <v>17876.700000000008</v>
      </c>
      <c r="P24" s="81">
        <f>SUM(P4:P23)</f>
        <v>28465.699999999997</v>
      </c>
      <c r="Q24" s="81">
        <f>SUM(Q4:Q23)</f>
        <v>64166.80000000001</v>
      </c>
    </row>
    <row r="25" spans="1:17" ht="12.75" customHeight="1">
      <c r="A25" s="82" t="s">
        <v>104</v>
      </c>
      <c r="B25" s="35">
        <v>1065.9</v>
      </c>
      <c r="C25" s="35">
        <f>'[2]Inc. Tax Itemwise'!D24</f>
        <v>500.5</v>
      </c>
      <c r="D25" s="35">
        <f>'[3]Inc. Tax Itemwise'!E25</f>
        <v>1501.5</v>
      </c>
      <c r="E25" s="35">
        <f>SUM(B25:D25)</f>
        <v>3067.9</v>
      </c>
      <c r="F25" s="35">
        <v>1510.5</v>
      </c>
      <c r="G25" s="54">
        <v>1475.3</v>
      </c>
      <c r="H25" s="35">
        <v>1030.7</v>
      </c>
      <c r="I25" s="35">
        <f>SUM(F25:H25)</f>
        <v>4016.5</v>
      </c>
      <c r="J25" s="35">
        <v>1030.7</v>
      </c>
      <c r="K25" s="35">
        <v>1030.7</v>
      </c>
      <c r="L25" s="35">
        <v>1030.7</v>
      </c>
      <c r="M25" s="22">
        <f>SUM(J25:L25)</f>
        <v>3092.1000000000004</v>
      </c>
      <c r="N25" s="35">
        <v>1030.7</v>
      </c>
      <c r="O25" s="35">
        <v>1030.7</v>
      </c>
      <c r="P25" s="35">
        <v>1030.7</v>
      </c>
      <c r="Q25" s="22">
        <f>SUM(N25:P25)</f>
        <v>3092.1000000000004</v>
      </c>
    </row>
    <row r="26" spans="1:17" ht="12.75">
      <c r="A26" s="17" t="s">
        <v>116</v>
      </c>
      <c r="B26" s="83">
        <f aca="true" t="shared" si="5" ref="B26:M26">+B24-B25</f>
        <v>14527.39007592</v>
      </c>
      <c r="C26" s="83">
        <f t="shared" si="5"/>
        <v>16070.100000000002</v>
      </c>
      <c r="D26" s="83">
        <f t="shared" si="5"/>
        <v>21829</v>
      </c>
      <c r="E26" s="83">
        <f t="shared" si="5"/>
        <v>52426.49007591999</v>
      </c>
      <c r="F26" s="83">
        <f t="shared" si="5"/>
        <v>15677.600000000002</v>
      </c>
      <c r="G26" s="83">
        <f t="shared" si="5"/>
        <v>15745.000000000004</v>
      </c>
      <c r="H26" s="83">
        <f t="shared" si="5"/>
        <v>25546.1</v>
      </c>
      <c r="I26" s="83">
        <f t="shared" si="5"/>
        <v>56968.7</v>
      </c>
      <c r="J26" s="83">
        <f t="shared" si="5"/>
        <v>16737.000000000004</v>
      </c>
      <c r="K26" s="83">
        <f t="shared" si="5"/>
        <v>15635.600000000002</v>
      </c>
      <c r="L26" s="83">
        <f t="shared" si="5"/>
        <v>24779.4</v>
      </c>
      <c r="M26" s="83">
        <f t="shared" si="5"/>
        <v>57151.99999999999</v>
      </c>
      <c r="N26" s="83">
        <f>+N24-N25</f>
        <v>16793.699999999997</v>
      </c>
      <c r="O26" s="83">
        <f>+O24-O25</f>
        <v>16846.000000000007</v>
      </c>
      <c r="P26" s="83">
        <f>+P24-P25</f>
        <v>27434.999999999996</v>
      </c>
      <c r="Q26" s="83">
        <f>+Q24-Q25</f>
        <v>61074.70000000001</v>
      </c>
    </row>
    <row r="27" spans="1:5" ht="15">
      <c r="A27" s="23" t="s">
        <v>113</v>
      </c>
      <c r="B27" s="84"/>
      <c r="C27" s="84"/>
      <c r="D27" s="84"/>
      <c r="E27" s="84"/>
    </row>
    <row r="28" spans="1:5" ht="12.75">
      <c r="A28" s="26"/>
      <c r="B28" s="84"/>
      <c r="C28" s="84"/>
      <c r="D28" s="84"/>
      <c r="E28" s="84"/>
    </row>
    <row r="29" spans="1:5" ht="12.75">
      <c r="A29" s="26"/>
      <c r="B29" s="84"/>
      <c r="C29" s="84"/>
      <c r="D29" s="84"/>
      <c r="E29" s="84"/>
    </row>
    <row r="30" spans="1:17" ht="12.75">
      <c r="A30" s="19" t="s">
        <v>87</v>
      </c>
      <c r="B30" s="85"/>
      <c r="M30" s="66" t="s">
        <v>112</v>
      </c>
      <c r="Q30" s="4" t="s">
        <v>114</v>
      </c>
    </row>
    <row r="31" spans="1:17" ht="12.75" customHeight="1">
      <c r="A31" s="79" t="s">
        <v>19</v>
      </c>
      <c r="B31" s="6" t="s">
        <v>8</v>
      </c>
      <c r="C31" s="6"/>
      <c r="D31" s="6"/>
      <c r="E31" s="6"/>
      <c r="F31" s="6" t="s">
        <v>82</v>
      </c>
      <c r="G31" s="6"/>
      <c r="H31" s="6"/>
      <c r="I31" s="6"/>
      <c r="J31" s="6" t="s">
        <v>86</v>
      </c>
      <c r="K31" s="6"/>
      <c r="L31" s="6"/>
      <c r="M31" s="6"/>
      <c r="N31" s="6" t="s">
        <v>108</v>
      </c>
      <c r="O31" s="6"/>
      <c r="P31" s="6"/>
      <c r="Q31" s="6"/>
    </row>
    <row r="32" spans="1:17" ht="12.75">
      <c r="A32" s="79"/>
      <c r="B32" s="7" t="s">
        <v>5</v>
      </c>
      <c r="C32" s="7" t="s">
        <v>6</v>
      </c>
      <c r="D32" s="7" t="s">
        <v>7</v>
      </c>
      <c r="E32" s="7" t="s">
        <v>107</v>
      </c>
      <c r="F32" s="7" t="s">
        <v>79</v>
      </c>
      <c r="G32" s="7" t="s">
        <v>80</v>
      </c>
      <c r="H32" s="7" t="s">
        <v>81</v>
      </c>
      <c r="I32" s="7" t="s">
        <v>107</v>
      </c>
      <c r="J32" s="7" t="s">
        <v>83</v>
      </c>
      <c r="K32" s="7" t="s">
        <v>84</v>
      </c>
      <c r="L32" s="7" t="s">
        <v>85</v>
      </c>
      <c r="M32" s="7" t="s">
        <v>107</v>
      </c>
      <c r="N32" s="7" t="s">
        <v>109</v>
      </c>
      <c r="O32" s="7" t="s">
        <v>110</v>
      </c>
      <c r="P32" s="7" t="s">
        <v>111</v>
      </c>
      <c r="Q32" s="7" t="s">
        <v>107</v>
      </c>
    </row>
    <row r="33" spans="1:17" ht="12.75">
      <c r="A33" s="8" t="s">
        <v>101</v>
      </c>
      <c r="B33" s="54">
        <v>6037</v>
      </c>
      <c r="C33" s="54">
        <f>6610.2-727.2</f>
        <v>5883</v>
      </c>
      <c r="D33" s="54">
        <f>6384.9-445.6+74.7-5</f>
        <v>6008.999999999999</v>
      </c>
      <c r="E33" s="54">
        <f>SUM(B33:D33)</f>
        <v>17929</v>
      </c>
      <c r="F33" s="54">
        <v>5836.9</v>
      </c>
      <c r="G33" s="54">
        <v>6720.1</v>
      </c>
      <c r="H33" s="54">
        <v>6277.8</v>
      </c>
      <c r="I33" s="54">
        <f>SUM(F33:H33)</f>
        <v>18834.8</v>
      </c>
      <c r="J33" s="54">
        <v>6064.4</v>
      </c>
      <c r="K33" s="54">
        <v>6930.1</v>
      </c>
      <c r="L33" s="54">
        <v>6808.8</v>
      </c>
      <c r="M33" s="22">
        <f>SUM(J33:L33)</f>
        <v>19803.3</v>
      </c>
      <c r="N33" s="54">
        <v>6493.6</v>
      </c>
      <c r="O33" s="54">
        <v>6761.2</v>
      </c>
      <c r="P33" s="54">
        <v>7762.2</v>
      </c>
      <c r="Q33" s="22">
        <f>SUM(N33:P33)</f>
        <v>21017</v>
      </c>
    </row>
    <row r="34" spans="1:17" ht="12.75">
      <c r="A34" s="36" t="s">
        <v>20</v>
      </c>
      <c r="B34" s="54">
        <v>1071.6</v>
      </c>
      <c r="C34" s="54">
        <v>1710.5</v>
      </c>
      <c r="D34" s="54">
        <v>1605.1</v>
      </c>
      <c r="E34" s="54">
        <f aca="true" t="shared" si="6" ref="E34:E52">SUM(B34:D34)</f>
        <v>4387.2</v>
      </c>
      <c r="F34" s="54">
        <v>1498.6</v>
      </c>
      <c r="G34" s="54">
        <v>1452.2</v>
      </c>
      <c r="H34" s="54">
        <v>1090.7</v>
      </c>
      <c r="I34" s="54">
        <f aca="true" t="shared" si="7" ref="I34:I52">SUM(F34:H34)</f>
        <v>4041.5</v>
      </c>
      <c r="J34" s="54">
        <v>1304.3</v>
      </c>
      <c r="K34" s="54">
        <v>1710</v>
      </c>
      <c r="L34" s="54">
        <v>1742.1</v>
      </c>
      <c r="M34" s="22">
        <f aca="true" t="shared" si="8" ref="M34:M52">SUM(J34:L34)</f>
        <v>4756.4</v>
      </c>
      <c r="N34" s="54">
        <v>1417.6</v>
      </c>
      <c r="O34" s="54">
        <v>746.4</v>
      </c>
      <c r="P34" s="54">
        <v>917.5</v>
      </c>
      <c r="Q34" s="22">
        <f aca="true" t="shared" si="9" ref="Q34:Q52">SUM(N34:P34)</f>
        <v>3081.5</v>
      </c>
    </row>
    <row r="35" spans="1:17" ht="12.75">
      <c r="A35" s="8" t="s">
        <v>21</v>
      </c>
      <c r="B35" s="54">
        <v>46.1</v>
      </c>
      <c r="C35" s="54">
        <v>63.3</v>
      </c>
      <c r="D35" s="54">
        <v>101.8</v>
      </c>
      <c r="E35" s="54">
        <f t="shared" si="6"/>
        <v>211.2</v>
      </c>
      <c r="F35" s="54">
        <v>66.6</v>
      </c>
      <c r="G35" s="54">
        <v>122.2</v>
      </c>
      <c r="H35" s="54">
        <v>70.2</v>
      </c>
      <c r="I35" s="54">
        <f t="shared" si="7"/>
        <v>259</v>
      </c>
      <c r="J35" s="54">
        <v>53.4</v>
      </c>
      <c r="K35" s="54">
        <v>45.2</v>
      </c>
      <c r="L35" s="54">
        <v>54.6</v>
      </c>
      <c r="M35" s="22">
        <f t="shared" si="8"/>
        <v>153.2</v>
      </c>
      <c r="N35" s="54">
        <v>58.9</v>
      </c>
      <c r="O35" s="54">
        <v>54.4</v>
      </c>
      <c r="P35" s="54">
        <v>32.7</v>
      </c>
      <c r="Q35" s="22">
        <f t="shared" si="9"/>
        <v>146</v>
      </c>
    </row>
    <row r="36" spans="1:17" ht="12.75">
      <c r="A36" s="36" t="s">
        <v>22</v>
      </c>
      <c r="B36" s="54">
        <v>91.3</v>
      </c>
      <c r="C36" s="54">
        <v>93</v>
      </c>
      <c r="D36" s="54">
        <v>91.7</v>
      </c>
      <c r="E36" s="54">
        <f t="shared" si="6"/>
        <v>276</v>
      </c>
      <c r="F36" s="54">
        <v>60.6</v>
      </c>
      <c r="G36" s="54">
        <v>80.1</v>
      </c>
      <c r="H36" s="54">
        <v>95.9</v>
      </c>
      <c r="I36" s="54">
        <f t="shared" si="7"/>
        <v>236.6</v>
      </c>
      <c r="J36" s="54">
        <v>76.1</v>
      </c>
      <c r="K36" s="54">
        <v>89.4</v>
      </c>
      <c r="L36" s="54">
        <v>101.8</v>
      </c>
      <c r="M36" s="22">
        <f t="shared" si="8"/>
        <v>267.3</v>
      </c>
      <c r="N36" s="54">
        <v>158.8</v>
      </c>
      <c r="O36" s="54">
        <v>197.5</v>
      </c>
      <c r="P36" s="54">
        <v>89.4</v>
      </c>
      <c r="Q36" s="22">
        <f t="shared" si="9"/>
        <v>445.70000000000005</v>
      </c>
    </row>
    <row r="37" spans="1:17" ht="12.75">
      <c r="A37" s="8" t="s">
        <v>23</v>
      </c>
      <c r="B37" s="54">
        <v>193.4</v>
      </c>
      <c r="C37" s="54">
        <v>202.1</v>
      </c>
      <c r="D37" s="54">
        <v>192.6</v>
      </c>
      <c r="E37" s="54">
        <f t="shared" si="6"/>
        <v>588.1</v>
      </c>
      <c r="F37" s="54">
        <v>144.3</v>
      </c>
      <c r="G37" s="54">
        <v>203.9</v>
      </c>
      <c r="H37" s="54">
        <v>155.8</v>
      </c>
      <c r="I37" s="54">
        <f t="shared" si="7"/>
        <v>504.00000000000006</v>
      </c>
      <c r="J37" s="54">
        <v>100.4</v>
      </c>
      <c r="K37" s="54">
        <v>158.2</v>
      </c>
      <c r="L37" s="54">
        <v>215.8</v>
      </c>
      <c r="M37" s="22">
        <f t="shared" si="8"/>
        <v>474.40000000000003</v>
      </c>
      <c r="N37" s="54">
        <v>155.2</v>
      </c>
      <c r="O37" s="54">
        <v>194.6</v>
      </c>
      <c r="P37" s="54">
        <v>300.2</v>
      </c>
      <c r="Q37" s="22">
        <f t="shared" si="9"/>
        <v>650</v>
      </c>
    </row>
    <row r="38" spans="1:17" ht="12.75">
      <c r="A38" s="8" t="s">
        <v>24</v>
      </c>
      <c r="B38" s="54">
        <v>74</v>
      </c>
      <c r="C38" s="54">
        <v>96.8</v>
      </c>
      <c r="D38" s="54">
        <v>116.2</v>
      </c>
      <c r="E38" s="54">
        <f t="shared" si="6"/>
        <v>287</v>
      </c>
      <c r="F38" s="54">
        <v>103.9</v>
      </c>
      <c r="G38" s="54">
        <v>84.1</v>
      </c>
      <c r="H38" s="54">
        <v>78.6</v>
      </c>
      <c r="I38" s="54">
        <f t="shared" si="7"/>
        <v>266.6</v>
      </c>
      <c r="J38" s="54">
        <v>157.9</v>
      </c>
      <c r="K38" s="54">
        <v>171.5</v>
      </c>
      <c r="L38" s="54">
        <v>183.1</v>
      </c>
      <c r="M38" s="22">
        <f t="shared" si="8"/>
        <v>512.5</v>
      </c>
      <c r="N38" s="54">
        <v>99</v>
      </c>
      <c r="O38" s="54">
        <v>198.5</v>
      </c>
      <c r="P38" s="54">
        <v>147.7</v>
      </c>
      <c r="Q38" s="22">
        <f t="shared" si="9"/>
        <v>445.2</v>
      </c>
    </row>
    <row r="39" spans="1:17" ht="12.75">
      <c r="A39" s="36" t="s">
        <v>25</v>
      </c>
      <c r="B39" s="54">
        <v>23.2</v>
      </c>
      <c r="C39" s="54">
        <v>22.1</v>
      </c>
      <c r="D39" s="54">
        <v>17.2</v>
      </c>
      <c r="E39" s="54">
        <f t="shared" si="6"/>
        <v>62.5</v>
      </c>
      <c r="F39" s="54">
        <v>24</v>
      </c>
      <c r="G39" s="54">
        <v>18.2</v>
      </c>
      <c r="H39" s="54">
        <v>17.1</v>
      </c>
      <c r="I39" s="54">
        <f t="shared" si="7"/>
        <v>59.300000000000004</v>
      </c>
      <c r="J39" s="54">
        <v>20.1</v>
      </c>
      <c r="K39" s="54">
        <v>18.6</v>
      </c>
      <c r="L39" s="54">
        <v>33.1</v>
      </c>
      <c r="M39" s="22">
        <f t="shared" si="8"/>
        <v>71.80000000000001</v>
      </c>
      <c r="N39" s="54">
        <v>18.7</v>
      </c>
      <c r="O39" s="54">
        <v>19</v>
      </c>
      <c r="P39" s="54">
        <v>23.9</v>
      </c>
      <c r="Q39" s="22">
        <f t="shared" si="9"/>
        <v>61.6</v>
      </c>
    </row>
    <row r="40" spans="1:17" ht="12.75">
      <c r="A40" s="8" t="s">
        <v>26</v>
      </c>
      <c r="B40" s="54">
        <v>652.6</v>
      </c>
      <c r="C40" s="54">
        <v>756.5</v>
      </c>
      <c r="D40" s="54">
        <v>779.5</v>
      </c>
      <c r="E40" s="54">
        <f t="shared" si="6"/>
        <v>2188.6</v>
      </c>
      <c r="F40" s="54">
        <v>801.8</v>
      </c>
      <c r="G40" s="54">
        <v>849.8</v>
      </c>
      <c r="H40" s="54">
        <v>778.1</v>
      </c>
      <c r="I40" s="54">
        <f t="shared" si="7"/>
        <v>2429.7</v>
      </c>
      <c r="J40" s="54">
        <v>706.4</v>
      </c>
      <c r="K40" s="54">
        <v>675.2</v>
      </c>
      <c r="L40" s="54">
        <v>804.5</v>
      </c>
      <c r="M40" s="22">
        <f t="shared" si="8"/>
        <v>2186.1</v>
      </c>
      <c r="N40" s="54">
        <v>650.2</v>
      </c>
      <c r="O40" s="54">
        <v>745.6</v>
      </c>
      <c r="P40" s="54">
        <v>723.9</v>
      </c>
      <c r="Q40" s="22">
        <f t="shared" si="9"/>
        <v>2119.7000000000003</v>
      </c>
    </row>
    <row r="41" spans="1:17" ht="12.75">
      <c r="A41" s="8" t="s">
        <v>27</v>
      </c>
      <c r="B41" s="54">
        <v>17.3</v>
      </c>
      <c r="C41" s="54">
        <v>8.8</v>
      </c>
      <c r="D41" s="54">
        <v>12.6</v>
      </c>
      <c r="E41" s="54">
        <f t="shared" si="6"/>
        <v>38.7</v>
      </c>
      <c r="F41" s="54">
        <v>16.4</v>
      </c>
      <c r="G41" s="54">
        <v>19</v>
      </c>
      <c r="H41" s="54">
        <v>15.7</v>
      </c>
      <c r="I41" s="54">
        <f t="shared" si="7"/>
        <v>51.099999999999994</v>
      </c>
      <c r="J41" s="54">
        <v>9.5</v>
      </c>
      <c r="K41" s="54">
        <v>9.3</v>
      </c>
      <c r="L41" s="54">
        <v>11.4</v>
      </c>
      <c r="M41" s="22">
        <f t="shared" si="8"/>
        <v>30.200000000000003</v>
      </c>
      <c r="N41" s="54">
        <v>12</v>
      </c>
      <c r="O41" s="54">
        <v>19.3</v>
      </c>
      <c r="P41" s="54">
        <v>16.3</v>
      </c>
      <c r="Q41" s="22">
        <f t="shared" si="9"/>
        <v>47.6</v>
      </c>
    </row>
    <row r="42" spans="1:17" ht="12.75">
      <c r="A42" s="8" t="s">
        <v>28</v>
      </c>
      <c r="B42" s="54">
        <v>157.6</v>
      </c>
      <c r="C42" s="54">
        <v>141.3</v>
      </c>
      <c r="D42" s="54">
        <v>120.4</v>
      </c>
      <c r="E42" s="54">
        <f t="shared" si="6"/>
        <v>419.29999999999995</v>
      </c>
      <c r="F42" s="54">
        <v>118.3</v>
      </c>
      <c r="G42" s="54">
        <v>171.6</v>
      </c>
      <c r="H42" s="54">
        <v>116.7</v>
      </c>
      <c r="I42" s="54">
        <f t="shared" si="7"/>
        <v>406.59999999999997</v>
      </c>
      <c r="J42" s="54">
        <v>80.3</v>
      </c>
      <c r="K42" s="54">
        <v>95.6</v>
      </c>
      <c r="L42" s="54">
        <v>131</v>
      </c>
      <c r="M42" s="22">
        <f t="shared" si="8"/>
        <v>306.9</v>
      </c>
      <c r="N42" s="54">
        <v>129.5</v>
      </c>
      <c r="O42" s="54">
        <v>147.1</v>
      </c>
      <c r="P42" s="54">
        <v>152</v>
      </c>
      <c r="Q42" s="22">
        <f t="shared" si="9"/>
        <v>428.6</v>
      </c>
    </row>
    <row r="43" spans="1:17" ht="12.75">
      <c r="A43" s="8" t="s">
        <v>29</v>
      </c>
      <c r="B43" s="54">
        <v>377.2</v>
      </c>
      <c r="C43" s="54">
        <v>729.3</v>
      </c>
      <c r="D43" s="54">
        <v>694.3</v>
      </c>
      <c r="E43" s="54">
        <f t="shared" si="6"/>
        <v>1800.8</v>
      </c>
      <c r="F43" s="54">
        <v>711.8</v>
      </c>
      <c r="G43" s="54">
        <v>669.7</v>
      </c>
      <c r="H43" s="54">
        <v>630</v>
      </c>
      <c r="I43" s="54">
        <f t="shared" si="7"/>
        <v>2011.5</v>
      </c>
      <c r="J43" s="54">
        <v>506.7</v>
      </c>
      <c r="K43" s="54">
        <v>554.7</v>
      </c>
      <c r="L43" s="54">
        <v>522.8</v>
      </c>
      <c r="M43" s="22">
        <f t="shared" si="8"/>
        <v>1584.2</v>
      </c>
      <c r="N43" s="54">
        <v>401.3</v>
      </c>
      <c r="O43" s="54">
        <v>344.7</v>
      </c>
      <c r="P43" s="54">
        <v>550.3</v>
      </c>
      <c r="Q43" s="22">
        <f t="shared" si="9"/>
        <v>1296.3</v>
      </c>
    </row>
    <row r="44" spans="1:17" ht="12.75">
      <c r="A44" s="8" t="s">
        <v>30</v>
      </c>
      <c r="B44" s="54">
        <v>1100.8</v>
      </c>
      <c r="C44" s="54">
        <v>1208.3</v>
      </c>
      <c r="D44" s="54">
        <v>1354.5</v>
      </c>
      <c r="E44" s="54">
        <f t="shared" si="6"/>
        <v>3663.6</v>
      </c>
      <c r="F44" s="54">
        <v>1360.9</v>
      </c>
      <c r="G44" s="54">
        <v>1349.4</v>
      </c>
      <c r="H44" s="54">
        <v>1282.8</v>
      </c>
      <c r="I44" s="54">
        <f t="shared" si="7"/>
        <v>3993.1000000000004</v>
      </c>
      <c r="J44" s="54">
        <v>1096.6</v>
      </c>
      <c r="K44" s="54">
        <v>719.4</v>
      </c>
      <c r="L44" s="54">
        <v>618.4</v>
      </c>
      <c r="M44" s="22">
        <f t="shared" si="8"/>
        <v>2434.4</v>
      </c>
      <c r="N44" s="54">
        <v>1196.2</v>
      </c>
      <c r="O44" s="54">
        <v>476</v>
      </c>
      <c r="P44" s="54">
        <v>363.1</v>
      </c>
      <c r="Q44" s="22">
        <f t="shared" si="9"/>
        <v>2035.3000000000002</v>
      </c>
    </row>
    <row r="45" spans="1:17" ht="12.75">
      <c r="A45" s="8" t="s">
        <v>31</v>
      </c>
      <c r="B45" s="54">
        <v>52.8</v>
      </c>
      <c r="C45" s="54">
        <v>95.8</v>
      </c>
      <c r="D45" s="54">
        <v>71.4</v>
      </c>
      <c r="E45" s="54">
        <f t="shared" si="6"/>
        <v>220</v>
      </c>
      <c r="F45" s="54">
        <v>56.1</v>
      </c>
      <c r="G45" s="54">
        <v>92.5</v>
      </c>
      <c r="H45" s="54">
        <v>42.2</v>
      </c>
      <c r="I45" s="54">
        <f t="shared" si="7"/>
        <v>190.8</v>
      </c>
      <c r="J45" s="54">
        <v>40.1</v>
      </c>
      <c r="K45" s="54">
        <v>31.8</v>
      </c>
      <c r="L45" s="54">
        <v>68.6</v>
      </c>
      <c r="M45" s="22">
        <f t="shared" si="8"/>
        <v>140.5</v>
      </c>
      <c r="N45" s="54">
        <v>73.8</v>
      </c>
      <c r="O45" s="54">
        <v>94.7</v>
      </c>
      <c r="P45" s="54">
        <v>40.2</v>
      </c>
      <c r="Q45" s="22">
        <f t="shared" si="9"/>
        <v>208.7</v>
      </c>
    </row>
    <row r="46" spans="1:17" ht="12.75">
      <c r="A46" s="13" t="s">
        <v>32</v>
      </c>
      <c r="B46" s="54">
        <v>599.99386841</v>
      </c>
      <c r="C46" s="54">
        <v>828.8</v>
      </c>
      <c r="D46" s="54">
        <v>853.3</v>
      </c>
      <c r="E46" s="54">
        <f t="shared" si="6"/>
        <v>2282.09386841</v>
      </c>
      <c r="F46" s="54">
        <v>793.7</v>
      </c>
      <c r="G46" s="54">
        <v>1032.3</v>
      </c>
      <c r="H46" s="54">
        <v>756.8</v>
      </c>
      <c r="I46" s="54">
        <f t="shared" si="7"/>
        <v>2582.8</v>
      </c>
      <c r="J46" s="54">
        <v>891.9</v>
      </c>
      <c r="K46" s="54">
        <v>947.5</v>
      </c>
      <c r="L46" s="54">
        <v>680.9</v>
      </c>
      <c r="M46" s="22">
        <f t="shared" si="8"/>
        <v>2520.3</v>
      </c>
      <c r="N46" s="54">
        <v>663.1</v>
      </c>
      <c r="O46" s="54">
        <v>928.6</v>
      </c>
      <c r="P46" s="54">
        <v>849.3</v>
      </c>
      <c r="Q46" s="22">
        <f t="shared" si="9"/>
        <v>2441</v>
      </c>
    </row>
    <row r="47" spans="1:17" ht="12.75">
      <c r="A47" s="8" t="s">
        <v>33</v>
      </c>
      <c r="B47" s="54">
        <v>30.8</v>
      </c>
      <c r="C47" s="54">
        <v>41.7</v>
      </c>
      <c r="D47" s="54">
        <v>20.6</v>
      </c>
      <c r="E47" s="54">
        <f t="shared" si="6"/>
        <v>93.1</v>
      </c>
      <c r="F47" s="54">
        <v>33.9</v>
      </c>
      <c r="G47" s="54">
        <v>51.3</v>
      </c>
      <c r="H47" s="54">
        <v>49.5</v>
      </c>
      <c r="I47" s="54">
        <f t="shared" si="7"/>
        <v>134.7</v>
      </c>
      <c r="J47" s="54">
        <v>37.3</v>
      </c>
      <c r="K47" s="54">
        <v>29.1</v>
      </c>
      <c r="L47" s="54">
        <v>12.9</v>
      </c>
      <c r="M47" s="22">
        <f t="shared" si="8"/>
        <v>79.30000000000001</v>
      </c>
      <c r="N47" s="54">
        <v>25.2</v>
      </c>
      <c r="O47" s="54">
        <v>25.8</v>
      </c>
      <c r="P47" s="54">
        <v>34.5</v>
      </c>
      <c r="Q47" s="22">
        <f t="shared" si="9"/>
        <v>85.5</v>
      </c>
    </row>
    <row r="48" spans="1:17" ht="12.75">
      <c r="A48" s="8" t="s">
        <v>34</v>
      </c>
      <c r="B48" s="54">
        <v>89.7</v>
      </c>
      <c r="C48" s="54">
        <v>64.5</v>
      </c>
      <c r="D48" s="54">
        <v>93.4</v>
      </c>
      <c r="E48" s="54">
        <f t="shared" si="6"/>
        <v>247.6</v>
      </c>
      <c r="F48" s="54">
        <v>104.1</v>
      </c>
      <c r="G48" s="54">
        <v>71.1</v>
      </c>
      <c r="H48" s="54">
        <v>147.8</v>
      </c>
      <c r="I48" s="54">
        <f t="shared" si="7"/>
        <v>323</v>
      </c>
      <c r="J48" s="54">
        <v>156.5</v>
      </c>
      <c r="K48" s="54">
        <v>226.4</v>
      </c>
      <c r="L48" s="54">
        <v>105.2</v>
      </c>
      <c r="M48" s="22">
        <f t="shared" si="8"/>
        <v>488.09999999999997</v>
      </c>
      <c r="N48" s="54">
        <v>98.2</v>
      </c>
      <c r="O48" s="54">
        <v>99.6</v>
      </c>
      <c r="P48" s="54">
        <v>132.6</v>
      </c>
      <c r="Q48" s="22">
        <f t="shared" si="9"/>
        <v>330.4</v>
      </c>
    </row>
    <row r="49" spans="1:17" ht="12.75">
      <c r="A49" s="13" t="s">
        <v>35</v>
      </c>
      <c r="B49" s="54">
        <v>22.9</v>
      </c>
      <c r="C49" s="54">
        <v>18.7</v>
      </c>
      <c r="D49" s="54">
        <v>24.1</v>
      </c>
      <c r="E49" s="54">
        <f t="shared" si="6"/>
        <v>65.69999999999999</v>
      </c>
      <c r="F49" s="54">
        <v>22.6</v>
      </c>
      <c r="G49" s="54">
        <v>17.1</v>
      </c>
      <c r="H49" s="54">
        <v>18.9</v>
      </c>
      <c r="I49" s="54">
        <f t="shared" si="7"/>
        <v>58.6</v>
      </c>
      <c r="J49" s="54">
        <v>20.3</v>
      </c>
      <c r="K49" s="54">
        <v>24.5</v>
      </c>
      <c r="L49" s="54">
        <v>22.9</v>
      </c>
      <c r="M49" s="22">
        <f t="shared" si="8"/>
        <v>67.69999999999999</v>
      </c>
      <c r="N49" s="54">
        <v>17.3</v>
      </c>
      <c r="O49" s="54">
        <v>13.2</v>
      </c>
      <c r="P49" s="54">
        <v>28.4</v>
      </c>
      <c r="Q49" s="22">
        <f t="shared" si="9"/>
        <v>58.9</v>
      </c>
    </row>
    <row r="50" spans="1:17" ht="12.75">
      <c r="A50" s="13" t="s">
        <v>36</v>
      </c>
      <c r="B50" s="54">
        <v>146.1</v>
      </c>
      <c r="C50" s="54">
        <v>159.2</v>
      </c>
      <c r="D50" s="54">
        <v>156.1</v>
      </c>
      <c r="E50" s="54">
        <f t="shared" si="6"/>
        <v>461.4</v>
      </c>
      <c r="F50" s="54">
        <v>141.4</v>
      </c>
      <c r="G50" s="54">
        <v>146</v>
      </c>
      <c r="H50" s="54">
        <v>134.9</v>
      </c>
      <c r="I50" s="54">
        <f t="shared" si="7"/>
        <v>422.29999999999995</v>
      </c>
      <c r="J50" s="54">
        <v>142.4</v>
      </c>
      <c r="K50" s="54">
        <v>115.3</v>
      </c>
      <c r="L50" s="54">
        <v>121.8</v>
      </c>
      <c r="M50" s="22">
        <f t="shared" si="8"/>
        <v>379.5</v>
      </c>
      <c r="N50" s="54">
        <v>122.2</v>
      </c>
      <c r="O50" s="54">
        <v>129.9</v>
      </c>
      <c r="P50" s="54">
        <v>146.3</v>
      </c>
      <c r="Q50" s="22">
        <f t="shared" si="9"/>
        <v>398.40000000000003</v>
      </c>
    </row>
    <row r="51" spans="1:17" ht="12.75">
      <c r="A51" s="8" t="s">
        <v>37</v>
      </c>
      <c r="B51" s="54">
        <v>255.3</v>
      </c>
      <c r="C51" s="54">
        <v>512.7</v>
      </c>
      <c r="D51" s="54">
        <v>581.5</v>
      </c>
      <c r="E51" s="54">
        <f t="shared" si="6"/>
        <v>1349.5</v>
      </c>
      <c r="F51" s="54">
        <v>518.3</v>
      </c>
      <c r="G51" s="54">
        <v>392.6</v>
      </c>
      <c r="H51" s="54">
        <v>578.5</v>
      </c>
      <c r="I51" s="54">
        <f t="shared" si="7"/>
        <v>1489.4</v>
      </c>
      <c r="J51" s="54">
        <v>313.9</v>
      </c>
      <c r="K51" s="54">
        <v>351.3</v>
      </c>
      <c r="L51" s="54">
        <v>561.2</v>
      </c>
      <c r="M51" s="22">
        <f t="shared" si="8"/>
        <v>1226.4</v>
      </c>
      <c r="N51" s="54">
        <v>649.6</v>
      </c>
      <c r="O51" s="54">
        <v>346.1</v>
      </c>
      <c r="P51" s="54">
        <v>420.6</v>
      </c>
      <c r="Q51" s="22">
        <f t="shared" si="9"/>
        <v>1416.3000000000002</v>
      </c>
    </row>
    <row r="52" spans="1:17" ht="12.75">
      <c r="A52" s="8" t="s">
        <v>38</v>
      </c>
      <c r="B52" s="54">
        <v>25.6</v>
      </c>
      <c r="C52" s="54">
        <v>22.2</v>
      </c>
      <c r="D52" s="54">
        <v>20.5</v>
      </c>
      <c r="E52" s="54">
        <f t="shared" si="6"/>
        <v>68.3</v>
      </c>
      <c r="F52" s="54">
        <v>21.9</v>
      </c>
      <c r="G52" s="74">
        <v>23.4</v>
      </c>
      <c r="H52" s="54">
        <v>21.9</v>
      </c>
      <c r="I52" s="54">
        <f t="shared" si="7"/>
        <v>67.19999999999999</v>
      </c>
      <c r="J52" s="54">
        <v>21.6</v>
      </c>
      <c r="K52" s="54">
        <v>19.8</v>
      </c>
      <c r="L52" s="54">
        <v>20.5</v>
      </c>
      <c r="M52" s="22">
        <f t="shared" si="8"/>
        <v>61.900000000000006</v>
      </c>
      <c r="N52" s="54">
        <v>21.7</v>
      </c>
      <c r="O52" s="54">
        <v>19.5</v>
      </c>
      <c r="P52" s="54">
        <v>15.6</v>
      </c>
      <c r="Q52" s="22">
        <f t="shared" si="9"/>
        <v>56.800000000000004</v>
      </c>
    </row>
    <row r="53" spans="1:17" ht="12.75">
      <c r="A53" s="17" t="s">
        <v>115</v>
      </c>
      <c r="B53" s="83">
        <v>11065.293868409999</v>
      </c>
      <c r="C53" s="83">
        <f aca="true" t="shared" si="10" ref="C53:M53">SUM(C33:C52)</f>
        <v>12658.6</v>
      </c>
      <c r="D53" s="83">
        <f t="shared" si="10"/>
        <v>12915.799999999997</v>
      </c>
      <c r="E53" s="83">
        <f t="shared" si="10"/>
        <v>36639.693868409995</v>
      </c>
      <c r="F53" s="83">
        <f t="shared" si="10"/>
        <v>12436.099999999999</v>
      </c>
      <c r="G53" s="83">
        <f t="shared" si="10"/>
        <v>13566.6</v>
      </c>
      <c r="H53" s="83">
        <f t="shared" si="10"/>
        <v>12359.9</v>
      </c>
      <c r="I53" s="83">
        <f t="shared" si="10"/>
        <v>38362.6</v>
      </c>
      <c r="J53" s="83">
        <f t="shared" si="10"/>
        <v>11800.099999999999</v>
      </c>
      <c r="K53" s="83">
        <f t="shared" si="10"/>
        <v>12922.9</v>
      </c>
      <c r="L53" s="83">
        <f t="shared" si="10"/>
        <v>12821.399999999998</v>
      </c>
      <c r="M53" s="83">
        <f t="shared" si="10"/>
        <v>37544.4</v>
      </c>
      <c r="N53" s="83">
        <f>SUM(N33:N52)</f>
        <v>12462.100000000004</v>
      </c>
      <c r="O53" s="83">
        <f>SUM(O33:O52)</f>
        <v>11561.7</v>
      </c>
      <c r="P53" s="83">
        <f>SUM(P33:P52)</f>
        <v>12746.7</v>
      </c>
      <c r="Q53" s="83">
        <f>SUM(Q33:Q52)</f>
        <v>36770.50000000001</v>
      </c>
    </row>
    <row r="54" spans="1:17" ht="12.75" customHeight="1">
      <c r="A54" s="82" t="s">
        <v>104</v>
      </c>
      <c r="B54" s="54">
        <v>3301</v>
      </c>
      <c r="C54" s="54">
        <f>'[2]VAT Itemwise'!D57</f>
        <v>0</v>
      </c>
      <c r="D54" s="54">
        <f>'[3]VAT Itemwise'!E57</f>
        <v>0</v>
      </c>
      <c r="E54" s="54">
        <f>SUM(B54:D54)</f>
        <v>3301</v>
      </c>
      <c r="F54" s="54">
        <v>4260.9</v>
      </c>
      <c r="G54" s="54">
        <v>5220.7</v>
      </c>
      <c r="H54" s="54">
        <v>4260.9</v>
      </c>
      <c r="I54" s="54">
        <f>SUM(F54:H54)</f>
        <v>13742.499999999998</v>
      </c>
      <c r="J54" s="54">
        <v>4260.9</v>
      </c>
      <c r="K54" s="54">
        <v>4260.9</v>
      </c>
      <c r="L54" s="54">
        <v>4260.9</v>
      </c>
      <c r="M54" s="22">
        <f>SUM(J54:L54)</f>
        <v>12782.699999999999</v>
      </c>
      <c r="N54" s="54">
        <v>4260.9</v>
      </c>
      <c r="O54" s="54">
        <v>4260.9</v>
      </c>
      <c r="P54" s="54">
        <v>4260.9</v>
      </c>
      <c r="Q54" s="22">
        <f>SUM(N54:P54)</f>
        <v>12782.699999999999</v>
      </c>
    </row>
    <row r="55" spans="1:17" ht="12.75">
      <c r="A55" s="17" t="s">
        <v>116</v>
      </c>
      <c r="B55" s="83">
        <v>7764.293868409999</v>
      </c>
      <c r="C55" s="83">
        <f aca="true" t="shared" si="11" ref="C55:M55">+C53-C54</f>
        <v>12658.6</v>
      </c>
      <c r="D55" s="83">
        <f t="shared" si="11"/>
        <v>12915.799999999997</v>
      </c>
      <c r="E55" s="83">
        <f t="shared" si="11"/>
        <v>33338.693868409995</v>
      </c>
      <c r="F55" s="83">
        <f t="shared" si="11"/>
        <v>8175.199999999999</v>
      </c>
      <c r="G55" s="83">
        <f t="shared" si="11"/>
        <v>8345.900000000001</v>
      </c>
      <c r="H55" s="83">
        <f t="shared" si="11"/>
        <v>8099</v>
      </c>
      <c r="I55" s="83">
        <f t="shared" si="11"/>
        <v>24620.1</v>
      </c>
      <c r="J55" s="83">
        <f t="shared" si="11"/>
        <v>7539.199999999999</v>
      </c>
      <c r="K55" s="83">
        <f t="shared" si="11"/>
        <v>8662</v>
      </c>
      <c r="L55" s="83">
        <f t="shared" si="11"/>
        <v>8560.499999999998</v>
      </c>
      <c r="M55" s="83">
        <f t="shared" si="11"/>
        <v>24761.700000000004</v>
      </c>
      <c r="N55" s="83">
        <f>+N53-N54</f>
        <v>8201.200000000004</v>
      </c>
      <c r="O55" s="83">
        <f>+O53-O54</f>
        <v>7300.800000000001</v>
      </c>
      <c r="P55" s="83">
        <f>+P53-P54</f>
        <v>8485.800000000001</v>
      </c>
      <c r="Q55" s="83">
        <f>+Q53-Q54</f>
        <v>23987.80000000001</v>
      </c>
    </row>
    <row r="56" spans="1:17" ht="12.75">
      <c r="A56" s="59" t="s">
        <v>58</v>
      </c>
      <c r="B56" s="38">
        <v>441.110127</v>
      </c>
      <c r="C56" s="38">
        <v>727.2</v>
      </c>
      <c r="D56" s="38">
        <f>'[3]VAT Itemwise'!E59</f>
        <v>0</v>
      </c>
      <c r="E56" s="38">
        <f>SUM(B56:D56)</f>
        <v>1168.310127</v>
      </c>
      <c r="F56" s="38">
        <v>464.2</v>
      </c>
      <c r="G56" s="38">
        <v>477.2</v>
      </c>
      <c r="H56" s="38">
        <v>810.7</v>
      </c>
      <c r="I56" s="38">
        <f>SUM(F56:H56)</f>
        <v>1752.1</v>
      </c>
      <c r="J56" s="38">
        <v>0</v>
      </c>
      <c r="K56" s="38">
        <v>803.8</v>
      </c>
      <c r="L56" s="38">
        <v>844.4</v>
      </c>
      <c r="M56" s="22">
        <f>SUM(J56:L56)</f>
        <v>1648.1999999999998</v>
      </c>
      <c r="N56" s="38">
        <v>625.7</v>
      </c>
      <c r="O56" s="38">
        <v>378.5</v>
      </c>
      <c r="P56" s="38">
        <v>1156.8</v>
      </c>
      <c r="Q56" s="22">
        <f>SUM(N56:P56)</f>
        <v>2161</v>
      </c>
    </row>
    <row r="57" spans="1:17" ht="12.75">
      <c r="A57" s="39" t="s">
        <v>4</v>
      </c>
      <c r="B57" s="41">
        <v>8205.403995409999</v>
      </c>
      <c r="C57" s="41">
        <f aca="true" t="shared" si="12" ref="C57:M57">C55+C56</f>
        <v>13385.800000000001</v>
      </c>
      <c r="D57" s="41">
        <f t="shared" si="12"/>
        <v>12915.799999999997</v>
      </c>
      <c r="E57" s="41">
        <f t="shared" si="12"/>
        <v>34507.00399540999</v>
      </c>
      <c r="F57" s="41">
        <f t="shared" si="12"/>
        <v>8639.4</v>
      </c>
      <c r="G57" s="41">
        <f t="shared" si="12"/>
        <v>8823.100000000002</v>
      </c>
      <c r="H57" s="41">
        <f t="shared" si="12"/>
        <v>8909.7</v>
      </c>
      <c r="I57" s="41">
        <f t="shared" si="12"/>
        <v>26372.199999999997</v>
      </c>
      <c r="J57" s="41">
        <f t="shared" si="12"/>
        <v>7539.199999999999</v>
      </c>
      <c r="K57" s="41">
        <f t="shared" si="12"/>
        <v>9465.8</v>
      </c>
      <c r="L57" s="41">
        <f t="shared" si="12"/>
        <v>9404.899999999998</v>
      </c>
      <c r="M57" s="41">
        <f t="shared" si="12"/>
        <v>26409.900000000005</v>
      </c>
      <c r="N57" s="42">
        <f>N55+N56</f>
        <v>8826.900000000005</v>
      </c>
      <c r="O57" s="42">
        <f>O55+O56</f>
        <v>7679.300000000001</v>
      </c>
      <c r="P57" s="42">
        <f>P55+P56</f>
        <v>9642.6</v>
      </c>
      <c r="Q57" s="42">
        <f>Q55+Q56</f>
        <v>26148.80000000001</v>
      </c>
    </row>
    <row r="58" ht="15">
      <c r="A58" s="23" t="s">
        <v>113</v>
      </c>
    </row>
    <row r="61" spans="1:17" ht="12.75">
      <c r="A61" s="19" t="s">
        <v>60</v>
      </c>
      <c r="M61" s="66" t="s">
        <v>112</v>
      </c>
      <c r="Q61" s="4" t="s">
        <v>114</v>
      </c>
    </row>
    <row r="62" spans="1:17" ht="12.75" customHeight="1">
      <c r="A62" s="79" t="s">
        <v>19</v>
      </c>
      <c r="B62" s="6" t="s">
        <v>8</v>
      </c>
      <c r="C62" s="6"/>
      <c r="D62" s="6"/>
      <c r="E62" s="6"/>
      <c r="F62" s="6" t="s">
        <v>82</v>
      </c>
      <c r="G62" s="6"/>
      <c r="H62" s="6"/>
      <c r="I62" s="6"/>
      <c r="J62" s="6" t="s">
        <v>86</v>
      </c>
      <c r="K62" s="6"/>
      <c r="L62" s="6"/>
      <c r="M62" s="6"/>
      <c r="N62" s="6" t="s">
        <v>108</v>
      </c>
      <c r="O62" s="6"/>
      <c r="P62" s="6"/>
      <c r="Q62" s="6"/>
    </row>
    <row r="63" spans="1:17" ht="12.75">
      <c r="A63" s="79"/>
      <c r="B63" s="7" t="s">
        <v>5</v>
      </c>
      <c r="C63" s="7" t="s">
        <v>6</v>
      </c>
      <c r="D63" s="7" t="s">
        <v>7</v>
      </c>
      <c r="E63" s="7" t="s">
        <v>107</v>
      </c>
      <c r="F63" s="7" t="s">
        <v>79</v>
      </c>
      <c r="G63" s="7" t="s">
        <v>80</v>
      </c>
      <c r="H63" s="7" t="s">
        <v>81</v>
      </c>
      <c r="I63" s="7" t="s">
        <v>107</v>
      </c>
      <c r="J63" s="7" t="s">
        <v>83</v>
      </c>
      <c r="K63" s="7" t="s">
        <v>84</v>
      </c>
      <c r="L63" s="7" t="s">
        <v>85</v>
      </c>
      <c r="M63" s="7" t="s">
        <v>107</v>
      </c>
      <c r="N63" s="7" t="s">
        <v>109</v>
      </c>
      <c r="O63" s="7" t="s">
        <v>110</v>
      </c>
      <c r="P63" s="7" t="s">
        <v>111</v>
      </c>
      <c r="Q63" s="7" t="s">
        <v>107</v>
      </c>
    </row>
    <row r="64" spans="1:17" ht="12.75">
      <c r="A64" s="8" t="s">
        <v>101</v>
      </c>
      <c r="B64" s="35">
        <v>51751.3</v>
      </c>
      <c r="C64" s="35">
        <f>53888.2-638.3-15.2</f>
        <v>53234.7</v>
      </c>
      <c r="D64" s="35">
        <f>55417.3-563.9</f>
        <v>54853.4</v>
      </c>
      <c r="E64" s="35">
        <f>SUM(B64:D64)</f>
        <v>159839.4</v>
      </c>
      <c r="F64" s="35">
        <v>53330.2</v>
      </c>
      <c r="G64" s="38">
        <v>53207.3</v>
      </c>
      <c r="H64" s="35">
        <v>55213.1</v>
      </c>
      <c r="I64" s="35">
        <f>SUM(F64:H64)</f>
        <v>161750.6</v>
      </c>
      <c r="J64" s="35">
        <v>53222.5</v>
      </c>
      <c r="K64" s="35">
        <v>53603.4</v>
      </c>
      <c r="L64" s="35">
        <v>54378.2</v>
      </c>
      <c r="M64" s="22">
        <f>SUM(J64:L64)</f>
        <v>161204.09999999998</v>
      </c>
      <c r="N64" s="35">
        <v>53485.7</v>
      </c>
      <c r="O64" s="35">
        <v>52193</v>
      </c>
      <c r="P64" s="35">
        <v>58589.5</v>
      </c>
      <c r="Q64" s="22">
        <f>SUM(N64:P64)</f>
        <v>164268.2</v>
      </c>
    </row>
    <row r="65" spans="1:17" ht="12.75">
      <c r="A65" s="36" t="s">
        <v>20</v>
      </c>
      <c r="B65" s="35">
        <v>943.5</v>
      </c>
      <c r="C65" s="35">
        <v>846.3</v>
      </c>
      <c r="D65" s="35">
        <v>1067.5</v>
      </c>
      <c r="E65" s="35">
        <f aca="true" t="shared" si="13" ref="E65:E83">SUM(B65:D65)</f>
        <v>2857.3</v>
      </c>
      <c r="F65" s="35">
        <v>1135</v>
      </c>
      <c r="G65" s="35">
        <v>1000.6</v>
      </c>
      <c r="H65" s="35">
        <v>844.1</v>
      </c>
      <c r="I65" s="35">
        <f aca="true" t="shared" si="14" ref="I65:I83">SUM(F65:H65)</f>
        <v>2979.7</v>
      </c>
      <c r="J65" s="35">
        <v>708.9</v>
      </c>
      <c r="K65" s="35">
        <v>989</v>
      </c>
      <c r="L65" s="35">
        <v>988.4</v>
      </c>
      <c r="M65" s="22">
        <f aca="true" t="shared" si="15" ref="M65:M83">SUM(J65:L65)</f>
        <v>2686.3</v>
      </c>
      <c r="N65" s="35">
        <v>1186.1</v>
      </c>
      <c r="O65" s="35">
        <v>862.1</v>
      </c>
      <c r="P65" s="35">
        <v>1089.9</v>
      </c>
      <c r="Q65" s="22">
        <f aca="true" t="shared" si="16" ref="Q65:Q83">SUM(N65:P65)</f>
        <v>3138.1</v>
      </c>
    </row>
    <row r="66" spans="1:17" ht="12.75">
      <c r="A66" s="8" t="s">
        <v>21</v>
      </c>
      <c r="B66" s="35">
        <v>0.40392</v>
      </c>
      <c r="C66" s="35">
        <v>0.2</v>
      </c>
      <c r="D66" s="35">
        <v>0.4</v>
      </c>
      <c r="E66" s="35">
        <f t="shared" si="13"/>
        <v>1.00392</v>
      </c>
      <c r="F66" s="35">
        <v>1.4</v>
      </c>
      <c r="G66" s="38">
        <v>3.7</v>
      </c>
      <c r="H66" s="35">
        <v>0</v>
      </c>
      <c r="I66" s="35">
        <f t="shared" si="14"/>
        <v>5.1</v>
      </c>
      <c r="J66" s="35">
        <v>0.1</v>
      </c>
      <c r="K66" s="35">
        <v>0</v>
      </c>
      <c r="L66" s="35">
        <v>0</v>
      </c>
      <c r="M66" s="22">
        <f t="shared" si="15"/>
        <v>0.1</v>
      </c>
      <c r="N66" s="35">
        <v>0.594485</v>
      </c>
      <c r="O66" s="35">
        <v>0.72376</v>
      </c>
      <c r="P66" s="35">
        <v>0.474115</v>
      </c>
      <c r="Q66" s="22">
        <f t="shared" si="16"/>
        <v>1.7923600000000002</v>
      </c>
    </row>
    <row r="67" spans="1:17" ht="12.75">
      <c r="A67" s="36" t="s">
        <v>22</v>
      </c>
      <c r="B67" s="35">
        <v>7.66189</v>
      </c>
      <c r="C67" s="35">
        <v>3.3</v>
      </c>
      <c r="D67" s="35">
        <v>3.2</v>
      </c>
      <c r="E67" s="35">
        <f t="shared" si="13"/>
        <v>14.16189</v>
      </c>
      <c r="F67" s="35">
        <v>2</v>
      </c>
      <c r="G67" s="35">
        <v>6.5</v>
      </c>
      <c r="H67" s="35">
        <v>8.7</v>
      </c>
      <c r="I67" s="35">
        <f t="shared" si="14"/>
        <v>17.2</v>
      </c>
      <c r="J67" s="35">
        <v>11.4</v>
      </c>
      <c r="K67" s="35">
        <v>4.5</v>
      </c>
      <c r="L67" s="35">
        <v>3.6</v>
      </c>
      <c r="M67" s="22">
        <f t="shared" si="15"/>
        <v>19.5</v>
      </c>
      <c r="N67" s="35">
        <v>1.5</v>
      </c>
      <c r="O67" s="35">
        <v>2.2</v>
      </c>
      <c r="P67" s="35">
        <v>3.6</v>
      </c>
      <c r="Q67" s="22">
        <f t="shared" si="16"/>
        <v>7.300000000000001</v>
      </c>
    </row>
    <row r="68" spans="1:17" ht="12.75">
      <c r="A68" s="8" t="s">
        <v>23</v>
      </c>
      <c r="B68" s="35">
        <v>19.3</v>
      </c>
      <c r="C68" s="35">
        <v>20.8</v>
      </c>
      <c r="D68" s="35">
        <v>15.6</v>
      </c>
      <c r="E68" s="35">
        <f t="shared" si="13"/>
        <v>55.7</v>
      </c>
      <c r="F68" s="35">
        <v>3.1</v>
      </c>
      <c r="G68" s="35">
        <v>15.1</v>
      </c>
      <c r="H68" s="35">
        <v>13.3</v>
      </c>
      <c r="I68" s="35">
        <f t="shared" si="14"/>
        <v>31.5</v>
      </c>
      <c r="J68" s="35">
        <v>16.8</v>
      </c>
      <c r="K68" s="35">
        <v>11.8</v>
      </c>
      <c r="L68" s="35">
        <v>13.9</v>
      </c>
      <c r="M68" s="22">
        <f t="shared" si="15"/>
        <v>42.5</v>
      </c>
      <c r="N68" s="35">
        <v>9.8</v>
      </c>
      <c r="O68" s="35">
        <v>7.1</v>
      </c>
      <c r="P68" s="35">
        <v>15.7</v>
      </c>
      <c r="Q68" s="22">
        <f t="shared" si="16"/>
        <v>32.599999999999994</v>
      </c>
    </row>
    <row r="69" spans="1:17" ht="12.75">
      <c r="A69" s="8" t="s">
        <v>24</v>
      </c>
      <c r="B69" s="38">
        <v>67.7</v>
      </c>
      <c r="C69" s="38">
        <v>169.4</v>
      </c>
      <c r="D69" s="38">
        <v>81.6</v>
      </c>
      <c r="E69" s="35">
        <f t="shared" si="13"/>
        <v>318.70000000000005</v>
      </c>
      <c r="F69" s="38">
        <v>497.2</v>
      </c>
      <c r="G69" s="35">
        <v>119.1</v>
      </c>
      <c r="H69" s="38">
        <v>149.1</v>
      </c>
      <c r="I69" s="35">
        <f t="shared" si="14"/>
        <v>765.4</v>
      </c>
      <c r="J69" s="38">
        <v>129.4</v>
      </c>
      <c r="K69" s="38">
        <v>227.8</v>
      </c>
      <c r="L69" s="38">
        <v>190.2</v>
      </c>
      <c r="M69" s="22">
        <f t="shared" si="15"/>
        <v>547.4000000000001</v>
      </c>
      <c r="N69" s="35">
        <v>138.6</v>
      </c>
      <c r="O69" s="35">
        <v>167.7</v>
      </c>
      <c r="P69" s="35">
        <v>180.1</v>
      </c>
      <c r="Q69" s="22">
        <f t="shared" si="16"/>
        <v>486.4</v>
      </c>
    </row>
    <row r="70" spans="1:17" ht="12.75">
      <c r="A70" s="36" t="s">
        <v>25</v>
      </c>
      <c r="B70" s="35">
        <v>60.3</v>
      </c>
      <c r="C70" s="35">
        <v>47.9</v>
      </c>
      <c r="D70" s="35">
        <v>50.7</v>
      </c>
      <c r="E70" s="35">
        <f t="shared" si="13"/>
        <v>158.89999999999998</v>
      </c>
      <c r="F70" s="35">
        <v>21.6</v>
      </c>
      <c r="G70" s="35">
        <v>49.6</v>
      </c>
      <c r="H70" s="35">
        <v>91.4</v>
      </c>
      <c r="I70" s="35">
        <f t="shared" si="14"/>
        <v>162.60000000000002</v>
      </c>
      <c r="J70" s="35">
        <v>17.3</v>
      </c>
      <c r="K70" s="35">
        <v>41.2</v>
      </c>
      <c r="L70" s="35">
        <v>51.8</v>
      </c>
      <c r="M70" s="22">
        <f t="shared" si="15"/>
        <v>110.3</v>
      </c>
      <c r="N70" s="35">
        <v>95.9</v>
      </c>
      <c r="O70" s="35">
        <v>77.1</v>
      </c>
      <c r="P70" s="35">
        <v>32.6</v>
      </c>
      <c r="Q70" s="22">
        <f t="shared" si="16"/>
        <v>205.6</v>
      </c>
    </row>
    <row r="71" spans="1:17" ht="12.75">
      <c r="A71" s="8" t="s">
        <v>26</v>
      </c>
      <c r="B71" s="35">
        <v>1475.8</v>
      </c>
      <c r="C71" s="35">
        <v>1791.7</v>
      </c>
      <c r="D71" s="35">
        <v>1406.1</v>
      </c>
      <c r="E71" s="35">
        <f t="shared" si="13"/>
        <v>4673.6</v>
      </c>
      <c r="F71" s="35">
        <v>1610.1</v>
      </c>
      <c r="G71" s="35">
        <v>1253.3</v>
      </c>
      <c r="H71" s="35">
        <v>1646</v>
      </c>
      <c r="I71" s="35">
        <f t="shared" si="14"/>
        <v>4509.4</v>
      </c>
      <c r="J71" s="35">
        <v>1794.7</v>
      </c>
      <c r="K71" s="35">
        <v>1972.3</v>
      </c>
      <c r="L71" s="35">
        <v>2036.7</v>
      </c>
      <c r="M71" s="22">
        <f t="shared" si="15"/>
        <v>5803.7</v>
      </c>
      <c r="N71" s="35">
        <v>1953.9</v>
      </c>
      <c r="O71" s="35">
        <v>2136.4</v>
      </c>
      <c r="P71" s="35">
        <v>2029.3</v>
      </c>
      <c r="Q71" s="22">
        <f t="shared" si="16"/>
        <v>6119.6</v>
      </c>
    </row>
    <row r="72" spans="1:17" ht="12.75">
      <c r="A72" s="8" t="s">
        <v>27</v>
      </c>
      <c r="B72" s="38">
        <v>5.272329</v>
      </c>
      <c r="C72" s="38">
        <v>2.2</v>
      </c>
      <c r="D72" s="38">
        <v>5.1</v>
      </c>
      <c r="E72" s="35">
        <f t="shared" si="13"/>
        <v>12.572329</v>
      </c>
      <c r="F72" s="38">
        <v>1.2</v>
      </c>
      <c r="G72" s="35">
        <v>0.9</v>
      </c>
      <c r="H72" s="38">
        <v>2.9</v>
      </c>
      <c r="I72" s="35">
        <f t="shared" si="14"/>
        <v>5</v>
      </c>
      <c r="J72" s="38">
        <v>0.09</v>
      </c>
      <c r="K72" s="38">
        <v>1.1</v>
      </c>
      <c r="L72" s="38">
        <v>1.6</v>
      </c>
      <c r="M72" s="22">
        <f t="shared" si="15"/>
        <v>2.79</v>
      </c>
      <c r="N72" s="35">
        <v>1.2</v>
      </c>
      <c r="O72" s="35">
        <v>1.7</v>
      </c>
      <c r="P72" s="35">
        <v>1.8</v>
      </c>
      <c r="Q72" s="22">
        <f t="shared" si="16"/>
        <v>4.7</v>
      </c>
    </row>
    <row r="73" spans="1:17" ht="12.75">
      <c r="A73" s="8" t="s">
        <v>28</v>
      </c>
      <c r="B73" s="35">
        <v>1412.8</v>
      </c>
      <c r="C73" s="35">
        <v>1806.5</v>
      </c>
      <c r="D73" s="35">
        <v>1840.2</v>
      </c>
      <c r="E73" s="35">
        <f t="shared" si="13"/>
        <v>5059.5</v>
      </c>
      <c r="F73" s="35">
        <v>1592.7</v>
      </c>
      <c r="G73" s="35">
        <v>1285.8</v>
      </c>
      <c r="H73" s="35">
        <v>2077.7</v>
      </c>
      <c r="I73" s="35">
        <f t="shared" si="14"/>
        <v>4956.2</v>
      </c>
      <c r="J73" s="35">
        <v>1671.3</v>
      </c>
      <c r="K73" s="35">
        <v>1816.3</v>
      </c>
      <c r="L73" s="35">
        <v>1604.8</v>
      </c>
      <c r="M73" s="22">
        <f t="shared" si="15"/>
        <v>5092.4</v>
      </c>
      <c r="N73" s="35">
        <v>1835.7</v>
      </c>
      <c r="O73" s="35">
        <v>1835.7</v>
      </c>
      <c r="P73" s="35">
        <v>2652.3</v>
      </c>
      <c r="Q73" s="22">
        <f t="shared" si="16"/>
        <v>6323.700000000001</v>
      </c>
    </row>
    <row r="74" spans="1:17" ht="12.75">
      <c r="A74" s="8" t="s">
        <v>29</v>
      </c>
      <c r="B74" s="35">
        <v>1208.1</v>
      </c>
      <c r="C74" s="35">
        <v>423.3</v>
      </c>
      <c r="D74" s="35">
        <v>1495.2</v>
      </c>
      <c r="E74" s="35">
        <f t="shared" si="13"/>
        <v>3126.6</v>
      </c>
      <c r="F74" s="35">
        <v>430.1</v>
      </c>
      <c r="G74" s="35">
        <v>819.1</v>
      </c>
      <c r="H74" s="35">
        <v>645.3</v>
      </c>
      <c r="I74" s="35">
        <f t="shared" si="14"/>
        <v>1894.5</v>
      </c>
      <c r="J74" s="35">
        <v>926.1</v>
      </c>
      <c r="K74" s="35">
        <v>699.2</v>
      </c>
      <c r="L74" s="35">
        <v>923.4</v>
      </c>
      <c r="M74" s="22">
        <f t="shared" si="15"/>
        <v>2548.7000000000003</v>
      </c>
      <c r="N74" s="35">
        <v>800.2</v>
      </c>
      <c r="O74" s="35">
        <v>972.4</v>
      </c>
      <c r="P74" s="35">
        <v>863.1</v>
      </c>
      <c r="Q74" s="22">
        <f t="shared" si="16"/>
        <v>2635.7</v>
      </c>
    </row>
    <row r="75" spans="1:17" ht="12.75">
      <c r="A75" s="8" t="s">
        <v>30</v>
      </c>
      <c r="B75" s="35">
        <v>1.8</v>
      </c>
      <c r="C75" s="35">
        <v>32.9</v>
      </c>
      <c r="D75" s="35">
        <v>14.4</v>
      </c>
      <c r="E75" s="35">
        <f t="shared" si="13"/>
        <v>49.099999999999994</v>
      </c>
      <c r="F75" s="35">
        <v>12.6</v>
      </c>
      <c r="G75" s="35">
        <v>7.1</v>
      </c>
      <c r="H75" s="35">
        <v>21.3</v>
      </c>
      <c r="I75" s="35">
        <f t="shared" si="14"/>
        <v>41</v>
      </c>
      <c r="J75" s="35">
        <v>38.1</v>
      </c>
      <c r="K75" s="35">
        <v>23.5</v>
      </c>
      <c r="L75" s="35">
        <v>5.9</v>
      </c>
      <c r="M75" s="22">
        <f t="shared" si="15"/>
        <v>67.5</v>
      </c>
      <c r="N75" s="35">
        <v>12.7</v>
      </c>
      <c r="O75" s="35">
        <v>7.4</v>
      </c>
      <c r="P75" s="35">
        <v>38.8</v>
      </c>
      <c r="Q75" s="22">
        <f t="shared" si="16"/>
        <v>58.9</v>
      </c>
    </row>
    <row r="76" spans="1:17" ht="12.75">
      <c r="A76" s="8" t="s">
        <v>31</v>
      </c>
      <c r="B76" s="35">
        <v>9.8</v>
      </c>
      <c r="C76" s="35">
        <v>1</v>
      </c>
      <c r="D76" s="35">
        <v>4.7</v>
      </c>
      <c r="E76" s="35">
        <f t="shared" si="13"/>
        <v>15.5</v>
      </c>
      <c r="F76" s="35">
        <v>5.5</v>
      </c>
      <c r="G76" s="35">
        <v>28.2</v>
      </c>
      <c r="H76" s="35">
        <v>4.4</v>
      </c>
      <c r="I76" s="35">
        <f t="shared" si="14"/>
        <v>38.1</v>
      </c>
      <c r="J76" s="35">
        <v>19.5</v>
      </c>
      <c r="K76" s="35">
        <v>4.5</v>
      </c>
      <c r="L76" s="35">
        <v>3.1</v>
      </c>
      <c r="M76" s="22">
        <f t="shared" si="15"/>
        <v>27.1</v>
      </c>
      <c r="N76" s="35">
        <v>0.9</v>
      </c>
      <c r="O76" s="35">
        <v>10.1</v>
      </c>
      <c r="P76" s="35">
        <v>3.2</v>
      </c>
      <c r="Q76" s="22">
        <f t="shared" si="16"/>
        <v>14.2</v>
      </c>
    </row>
    <row r="77" spans="1:17" ht="12.75">
      <c r="A77" s="13" t="s">
        <v>32</v>
      </c>
      <c r="B77" s="35">
        <v>591</v>
      </c>
      <c r="C77" s="35">
        <v>637</v>
      </c>
      <c r="D77" s="35">
        <v>720.6</v>
      </c>
      <c r="E77" s="35">
        <f t="shared" si="13"/>
        <v>1948.6</v>
      </c>
      <c r="F77" s="35">
        <v>658.7</v>
      </c>
      <c r="G77" s="38">
        <v>645.8</v>
      </c>
      <c r="H77" s="35">
        <v>900.6</v>
      </c>
      <c r="I77" s="35">
        <f t="shared" si="14"/>
        <v>2205.1</v>
      </c>
      <c r="J77" s="35">
        <v>712.9</v>
      </c>
      <c r="K77" s="35">
        <v>746.9</v>
      </c>
      <c r="L77" s="35">
        <v>695.3</v>
      </c>
      <c r="M77" s="22">
        <f t="shared" si="15"/>
        <v>2155.1</v>
      </c>
      <c r="N77" s="35">
        <v>888.6</v>
      </c>
      <c r="O77" s="35">
        <v>706.8</v>
      </c>
      <c r="P77" s="35">
        <v>953.7</v>
      </c>
      <c r="Q77" s="22">
        <f t="shared" si="16"/>
        <v>2549.1000000000004</v>
      </c>
    </row>
    <row r="78" spans="1:17" ht="12.75">
      <c r="A78" s="8" t="s">
        <v>33</v>
      </c>
      <c r="B78" s="35">
        <v>2</v>
      </c>
      <c r="C78" s="35">
        <v>3</v>
      </c>
      <c r="D78" s="35">
        <v>2.1</v>
      </c>
      <c r="E78" s="35">
        <f t="shared" si="13"/>
        <v>7.1</v>
      </c>
      <c r="F78" s="35">
        <v>20</v>
      </c>
      <c r="G78" s="35">
        <v>3.9</v>
      </c>
      <c r="H78" s="35">
        <v>2</v>
      </c>
      <c r="I78" s="35">
        <f t="shared" si="14"/>
        <v>25.9</v>
      </c>
      <c r="J78" s="35">
        <v>3.3</v>
      </c>
      <c r="K78" s="35">
        <v>2.6</v>
      </c>
      <c r="L78" s="35">
        <v>3.3</v>
      </c>
      <c r="M78" s="22">
        <f t="shared" si="15"/>
        <v>9.2</v>
      </c>
      <c r="N78" s="35">
        <v>3.4</v>
      </c>
      <c r="O78" s="35">
        <v>16.6</v>
      </c>
      <c r="P78" s="35">
        <v>0.088492</v>
      </c>
      <c r="Q78" s="22">
        <f t="shared" si="16"/>
        <v>20.088492</v>
      </c>
    </row>
    <row r="79" spans="1:17" ht="12.75">
      <c r="A79" s="8" t="s">
        <v>34</v>
      </c>
      <c r="B79" s="35">
        <v>10.5</v>
      </c>
      <c r="C79" s="35">
        <v>6.4</v>
      </c>
      <c r="D79" s="35">
        <v>4.4</v>
      </c>
      <c r="E79" s="35">
        <f t="shared" si="13"/>
        <v>21.299999999999997</v>
      </c>
      <c r="F79" s="35">
        <v>6.5</v>
      </c>
      <c r="G79" s="35">
        <v>90</v>
      </c>
      <c r="H79" s="35">
        <v>4.1</v>
      </c>
      <c r="I79" s="35">
        <f t="shared" si="14"/>
        <v>100.6</v>
      </c>
      <c r="J79" s="35">
        <v>5.9</v>
      </c>
      <c r="K79" s="35">
        <v>225.9</v>
      </c>
      <c r="L79" s="35">
        <v>7.5</v>
      </c>
      <c r="M79" s="22">
        <f t="shared" si="15"/>
        <v>239.3</v>
      </c>
      <c r="N79" s="35">
        <v>23.9</v>
      </c>
      <c r="O79" s="35">
        <v>3.6</v>
      </c>
      <c r="P79" s="35">
        <v>6</v>
      </c>
      <c r="Q79" s="22">
        <f t="shared" si="16"/>
        <v>33.5</v>
      </c>
    </row>
    <row r="80" spans="1:17" ht="12.75">
      <c r="A80" s="13" t="s">
        <v>35</v>
      </c>
      <c r="B80" s="35">
        <v>5.9</v>
      </c>
      <c r="C80" s="35">
        <v>2</v>
      </c>
      <c r="D80" s="35">
        <v>4.9</v>
      </c>
      <c r="E80" s="35">
        <f t="shared" si="13"/>
        <v>12.8</v>
      </c>
      <c r="F80" s="35">
        <v>0.6</v>
      </c>
      <c r="G80" s="35">
        <v>8.3</v>
      </c>
      <c r="H80" s="35">
        <v>0.245416</v>
      </c>
      <c r="I80" s="35">
        <f t="shared" si="14"/>
        <v>9.145416</v>
      </c>
      <c r="J80" s="35">
        <v>1.7</v>
      </c>
      <c r="K80" s="35">
        <v>0.693597</v>
      </c>
      <c r="L80" s="35">
        <v>1</v>
      </c>
      <c r="M80" s="22">
        <f t="shared" si="15"/>
        <v>3.3935969999999998</v>
      </c>
      <c r="N80" s="35">
        <v>0.8</v>
      </c>
      <c r="O80" s="35">
        <v>0.5</v>
      </c>
      <c r="P80" s="35">
        <v>7.7</v>
      </c>
      <c r="Q80" s="22">
        <f t="shared" si="16"/>
        <v>9</v>
      </c>
    </row>
    <row r="81" spans="1:17" ht="12.75">
      <c r="A81" s="13" t="s">
        <v>36</v>
      </c>
      <c r="B81" s="35">
        <v>1.3</v>
      </c>
      <c r="C81" s="35">
        <v>2.6</v>
      </c>
      <c r="D81" s="35">
        <v>2</v>
      </c>
      <c r="E81" s="35">
        <f t="shared" si="13"/>
        <v>5.9</v>
      </c>
      <c r="F81" s="35">
        <v>3</v>
      </c>
      <c r="G81" s="35">
        <v>10.2</v>
      </c>
      <c r="H81" s="35">
        <v>4.1</v>
      </c>
      <c r="I81" s="35">
        <f t="shared" si="14"/>
        <v>17.299999999999997</v>
      </c>
      <c r="J81" s="35">
        <v>1.1</v>
      </c>
      <c r="K81" s="35">
        <v>1.5</v>
      </c>
      <c r="L81" s="35">
        <v>2.5</v>
      </c>
      <c r="M81" s="22">
        <f t="shared" si="15"/>
        <v>5.1</v>
      </c>
      <c r="N81" s="35">
        <v>3.7</v>
      </c>
      <c r="O81" s="35">
        <v>1.9</v>
      </c>
      <c r="P81" s="35">
        <v>1.1</v>
      </c>
      <c r="Q81" s="22">
        <f t="shared" si="16"/>
        <v>6.699999999999999</v>
      </c>
    </row>
    <row r="82" spans="1:17" ht="12.75">
      <c r="A82" s="8" t="s">
        <v>37</v>
      </c>
      <c r="B82" s="35">
        <v>1758.1</v>
      </c>
      <c r="C82" s="35">
        <v>2202.1</v>
      </c>
      <c r="D82" s="35">
        <v>2451.2</v>
      </c>
      <c r="E82" s="35">
        <f t="shared" si="13"/>
        <v>6411.4</v>
      </c>
      <c r="F82" s="35">
        <v>2281.3</v>
      </c>
      <c r="G82" s="35">
        <v>2292.5</v>
      </c>
      <c r="H82" s="35">
        <v>2356.7</v>
      </c>
      <c r="I82" s="35">
        <f t="shared" si="14"/>
        <v>6930.5</v>
      </c>
      <c r="J82" s="35">
        <v>1699.7</v>
      </c>
      <c r="K82" s="35">
        <v>2364.4</v>
      </c>
      <c r="L82" s="35">
        <v>2130.1</v>
      </c>
      <c r="M82" s="22">
        <f t="shared" si="15"/>
        <v>6194.200000000001</v>
      </c>
      <c r="N82" s="35">
        <v>1492.3</v>
      </c>
      <c r="O82" s="35">
        <v>2457.1</v>
      </c>
      <c r="P82" s="35">
        <v>2608.7</v>
      </c>
      <c r="Q82" s="22">
        <f t="shared" si="16"/>
        <v>6558.099999999999</v>
      </c>
    </row>
    <row r="83" spans="1:17" ht="12.75">
      <c r="A83" s="8" t="s">
        <v>38</v>
      </c>
      <c r="B83" s="35">
        <v>22.6</v>
      </c>
      <c r="C83" s="35">
        <v>24.9</v>
      </c>
      <c r="D83" s="35">
        <v>31.7</v>
      </c>
      <c r="E83" s="35">
        <f t="shared" si="13"/>
        <v>79.2</v>
      </c>
      <c r="F83" s="35">
        <v>26.8</v>
      </c>
      <c r="G83" s="35">
        <v>14.6</v>
      </c>
      <c r="H83" s="35">
        <v>31.4</v>
      </c>
      <c r="I83" s="35">
        <f t="shared" si="14"/>
        <v>72.8</v>
      </c>
      <c r="J83" s="35">
        <v>6.8</v>
      </c>
      <c r="K83" s="35">
        <v>7.5</v>
      </c>
      <c r="L83" s="35">
        <v>5.8</v>
      </c>
      <c r="M83" s="22">
        <f t="shared" si="15"/>
        <v>20.1</v>
      </c>
      <c r="N83" s="35">
        <v>3.8</v>
      </c>
      <c r="O83" s="35">
        <v>27.8</v>
      </c>
      <c r="P83" s="35">
        <v>46.4</v>
      </c>
      <c r="Q83" s="22">
        <f t="shared" si="16"/>
        <v>78</v>
      </c>
    </row>
    <row r="84" spans="1:17" ht="12.75">
      <c r="A84" s="17" t="s">
        <v>115</v>
      </c>
      <c r="B84" s="69">
        <f aca="true" t="shared" si="17" ref="B84:M84">SUM(B64:B83)</f>
        <v>59355.13813900002</v>
      </c>
      <c r="C84" s="69">
        <f t="shared" si="17"/>
        <v>61258.200000000004</v>
      </c>
      <c r="D84" s="69">
        <f t="shared" si="17"/>
        <v>64054.99999999998</v>
      </c>
      <c r="E84" s="69">
        <f t="shared" si="17"/>
        <v>184668.33813899997</v>
      </c>
      <c r="F84" s="69">
        <f t="shared" si="17"/>
        <v>61639.599999999984</v>
      </c>
      <c r="G84" s="69">
        <f t="shared" si="17"/>
        <v>60861.6</v>
      </c>
      <c r="H84" s="69">
        <f t="shared" si="17"/>
        <v>64016.445415999995</v>
      </c>
      <c r="I84" s="69">
        <f t="shared" si="17"/>
        <v>186517.64541600004</v>
      </c>
      <c r="J84" s="69">
        <f t="shared" si="17"/>
        <v>60987.590000000004</v>
      </c>
      <c r="K84" s="69">
        <f t="shared" si="17"/>
        <v>62744.09359700001</v>
      </c>
      <c r="L84" s="69">
        <f t="shared" si="17"/>
        <v>63047.100000000006</v>
      </c>
      <c r="M84" s="69">
        <f t="shared" si="17"/>
        <v>186778.783597</v>
      </c>
      <c r="N84" s="69">
        <f>SUM(N64:N83)</f>
        <v>61939.294485</v>
      </c>
      <c r="O84" s="69">
        <f>SUM(O64:O83)</f>
        <v>61487.92375999999</v>
      </c>
      <c r="P84" s="69">
        <f>SUM(P64:P83)</f>
        <v>69124.06260699999</v>
      </c>
      <c r="Q84" s="69">
        <f>SUM(Q64:Q83)</f>
        <v>192551.28085200008</v>
      </c>
    </row>
    <row r="85" spans="1:17" ht="12.75" customHeight="1">
      <c r="A85" s="82" t="s">
        <v>104</v>
      </c>
      <c r="B85" s="54">
        <v>500</v>
      </c>
      <c r="C85" s="54">
        <f>'[2]Customs Itemwise'!D76</f>
        <v>0</v>
      </c>
      <c r="D85" s="54">
        <f>'[3]Customs Itemwise'!E76</f>
        <v>0</v>
      </c>
      <c r="E85" s="54">
        <f>SUM(B85:D85)</f>
        <v>500</v>
      </c>
      <c r="F85" s="54">
        <v>304.2</v>
      </c>
      <c r="G85" s="54">
        <v>234.5</v>
      </c>
      <c r="H85" s="54">
        <v>234.5</v>
      </c>
      <c r="I85" s="54">
        <f>SUM(F85:H85)</f>
        <v>773.2</v>
      </c>
      <c r="J85" s="54">
        <v>234.5</v>
      </c>
      <c r="K85" s="54">
        <v>234.5</v>
      </c>
      <c r="L85" s="54">
        <v>234.5</v>
      </c>
      <c r="M85" s="22">
        <f>SUM(J85:L85)</f>
        <v>703.5</v>
      </c>
      <c r="N85" s="54">
        <v>234.5</v>
      </c>
      <c r="O85" s="54">
        <v>234.5</v>
      </c>
      <c r="P85" s="54">
        <v>234.5</v>
      </c>
      <c r="Q85" s="22">
        <f>SUM(N85:P85)</f>
        <v>703.5</v>
      </c>
    </row>
    <row r="86" spans="1:17" ht="12.75">
      <c r="A86" s="17" t="s">
        <v>116</v>
      </c>
      <c r="B86" s="86">
        <f>B84-B85</f>
        <v>58855.13813900002</v>
      </c>
      <c r="C86" s="86">
        <f aca="true" t="shared" si="18" ref="C86:M86">+C84-C85</f>
        <v>61258.200000000004</v>
      </c>
      <c r="D86" s="86">
        <f t="shared" si="18"/>
        <v>64054.99999999998</v>
      </c>
      <c r="E86" s="86">
        <f t="shared" si="18"/>
        <v>184168.33813899997</v>
      </c>
      <c r="F86" s="86">
        <f t="shared" si="18"/>
        <v>61335.39999999999</v>
      </c>
      <c r="G86" s="86">
        <f t="shared" si="18"/>
        <v>60627.1</v>
      </c>
      <c r="H86" s="86">
        <f t="shared" si="18"/>
        <v>63781.945415999995</v>
      </c>
      <c r="I86" s="86">
        <f t="shared" si="18"/>
        <v>185744.44541600003</v>
      </c>
      <c r="J86" s="86">
        <f t="shared" si="18"/>
        <v>60753.090000000004</v>
      </c>
      <c r="K86" s="86">
        <f t="shared" si="18"/>
        <v>62509.59359700001</v>
      </c>
      <c r="L86" s="86">
        <f t="shared" si="18"/>
        <v>62812.600000000006</v>
      </c>
      <c r="M86" s="86">
        <f t="shared" si="18"/>
        <v>186075.283597</v>
      </c>
      <c r="N86" s="42">
        <f>+N84-N85</f>
        <v>61704.794485</v>
      </c>
      <c r="O86" s="42">
        <f>+O84-O85</f>
        <v>61253.42375999999</v>
      </c>
      <c r="P86" s="42">
        <f>+P84-P85</f>
        <v>68889.56260699999</v>
      </c>
      <c r="Q86" s="69">
        <f>+Q84-Q85</f>
        <v>191847.78085200008</v>
      </c>
    </row>
    <row r="87" spans="1:17" ht="12.75">
      <c r="A87" s="8" t="s">
        <v>58</v>
      </c>
      <c r="B87" s="67">
        <v>1527.4</v>
      </c>
      <c r="C87" s="67">
        <v>638.3</v>
      </c>
      <c r="D87" s="67">
        <v>563.8</v>
      </c>
      <c r="E87" s="67">
        <f>SUM(B87:D87)</f>
        <v>2729.5</v>
      </c>
      <c r="F87" s="67">
        <v>355.8</v>
      </c>
      <c r="G87" s="67">
        <v>0</v>
      </c>
      <c r="H87" s="67">
        <v>876.8</v>
      </c>
      <c r="I87" s="67">
        <f>SUM(F87:H87)</f>
        <v>1232.6</v>
      </c>
      <c r="J87" s="67">
        <v>395.2</v>
      </c>
      <c r="K87" s="67">
        <v>668.1</v>
      </c>
      <c r="L87" s="67">
        <v>551.6</v>
      </c>
      <c r="M87" s="9">
        <f>SUM(J87:L87)</f>
        <v>1614.9</v>
      </c>
      <c r="N87" s="67">
        <v>372.2</v>
      </c>
      <c r="O87" s="67">
        <v>824.6</v>
      </c>
      <c r="P87" s="67">
        <v>834.3</v>
      </c>
      <c r="Q87" s="9">
        <f>SUM(N87:P87)</f>
        <v>2031.1</v>
      </c>
    </row>
    <row r="88" spans="1:17" ht="12.75">
      <c r="A88" s="39" t="s">
        <v>4</v>
      </c>
      <c r="B88" s="18">
        <f>B86+B87</f>
        <v>60382.53813900002</v>
      </c>
      <c r="C88" s="18">
        <f aca="true" t="shared" si="19" ref="C88:M88">C86+C87</f>
        <v>61896.50000000001</v>
      </c>
      <c r="D88" s="18">
        <f t="shared" si="19"/>
        <v>64618.79999999998</v>
      </c>
      <c r="E88" s="18">
        <f t="shared" si="19"/>
        <v>186897.83813899997</v>
      </c>
      <c r="F88" s="18">
        <f t="shared" si="19"/>
        <v>61691.19999999999</v>
      </c>
      <c r="G88" s="18">
        <f t="shared" si="19"/>
        <v>60627.1</v>
      </c>
      <c r="H88" s="18">
        <f t="shared" si="19"/>
        <v>64658.745416</v>
      </c>
      <c r="I88" s="18">
        <f t="shared" si="19"/>
        <v>186977.04541600004</v>
      </c>
      <c r="J88" s="18">
        <f t="shared" si="19"/>
        <v>61148.29</v>
      </c>
      <c r="K88" s="18">
        <f t="shared" si="19"/>
        <v>63177.693597000005</v>
      </c>
      <c r="L88" s="18">
        <f t="shared" si="19"/>
        <v>63364.200000000004</v>
      </c>
      <c r="M88" s="18">
        <f t="shared" si="19"/>
        <v>187690.183597</v>
      </c>
      <c r="N88" s="18">
        <f>N86+N87</f>
        <v>62076.994484999996</v>
      </c>
      <c r="O88" s="18">
        <f>O86+O87</f>
        <v>62078.02375999999</v>
      </c>
      <c r="P88" s="18">
        <f>P86+P87</f>
        <v>69723.86260699999</v>
      </c>
      <c r="Q88" s="18">
        <f>Q86+Q87</f>
        <v>193878.8808520001</v>
      </c>
    </row>
    <row r="89" ht="15">
      <c r="A89" s="23" t="s">
        <v>113</v>
      </c>
    </row>
  </sheetData>
  <mergeCells count="15">
    <mergeCell ref="N62:Q62"/>
    <mergeCell ref="F2:I2"/>
    <mergeCell ref="J2:M2"/>
    <mergeCell ref="B31:E31"/>
    <mergeCell ref="N2:Q2"/>
    <mergeCell ref="N31:Q31"/>
    <mergeCell ref="F31:I31"/>
    <mergeCell ref="J31:M31"/>
    <mergeCell ref="B62:E62"/>
    <mergeCell ref="F62:I62"/>
    <mergeCell ref="J62:M62"/>
    <mergeCell ref="A2:A3"/>
    <mergeCell ref="A31:A32"/>
    <mergeCell ref="A62:A63"/>
    <mergeCell ref="B2:E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&amp;C&amp;"Arial,Bold"&amp;12TANZANIA REVENUE AUTHORITY
Actual Revenue Collections (Quarterly)  for 2004/05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Emmanuel and Sarah</cp:lastModifiedBy>
  <cp:lastPrinted>2009-04-29T14:26:49Z</cp:lastPrinted>
  <dcterms:created xsi:type="dcterms:W3CDTF">2005-05-16T04:25:43Z</dcterms:created>
  <dcterms:modified xsi:type="dcterms:W3CDTF">2009-04-29T14:27:37Z</dcterms:modified>
  <cp:category/>
  <cp:version/>
  <cp:contentType/>
  <cp:contentStatus/>
</cp:coreProperties>
</file>